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7200" windowHeight="4320"/>
  </bookViews>
  <sheets>
    <sheet name="Budget vs. Actuals  FY06-07 - F" sheetId="1" r:id="rId1"/>
  </sheets>
  <calcPr calcId="125725"/>
</workbook>
</file>

<file path=xl/calcChain.xml><?xml version="1.0" encoding="utf-8"?>
<calcChain xmlns="http://schemas.openxmlformats.org/spreadsheetml/2006/main">
  <c r="B8" i="1"/>
  <c r="C8"/>
  <c r="D8" s="1"/>
  <c r="E8"/>
  <c r="B9"/>
  <c r="D9"/>
  <c r="E9"/>
  <c r="B10"/>
  <c r="D10"/>
  <c r="E10"/>
  <c r="B11"/>
  <c r="D11" s="1"/>
  <c r="E11"/>
  <c r="B12"/>
  <c r="E12" s="1"/>
  <c r="C12"/>
  <c r="D12"/>
  <c r="C13"/>
  <c r="D13" s="1"/>
  <c r="E13"/>
  <c r="B14"/>
  <c r="D14"/>
  <c r="E14"/>
  <c r="B15"/>
  <c r="E15" s="1"/>
  <c r="C15"/>
  <c r="D15"/>
  <c r="B16"/>
  <c r="E16" s="1"/>
  <c r="C16"/>
  <c r="D16"/>
  <c r="B17"/>
  <c r="D17" s="1"/>
  <c r="E17"/>
  <c r="B18"/>
  <c r="D18"/>
  <c r="E18"/>
  <c r="B19"/>
  <c r="D19" s="1"/>
  <c r="E19"/>
  <c r="C20"/>
  <c r="C21"/>
  <c r="D21"/>
  <c r="E21"/>
  <c r="B22"/>
  <c r="D22" s="1"/>
  <c r="E22"/>
  <c r="B23"/>
  <c r="D23"/>
  <c r="E23"/>
  <c r="B24"/>
  <c r="D24" s="1"/>
  <c r="E24"/>
  <c r="B25"/>
  <c r="D25"/>
  <c r="E25"/>
  <c r="B26"/>
  <c r="E26" s="1"/>
  <c r="C26"/>
  <c r="D26"/>
  <c r="C27"/>
  <c r="D27" s="1"/>
  <c r="E27"/>
  <c r="B28"/>
  <c r="D28"/>
  <c r="E28"/>
  <c r="B29"/>
  <c r="D29" s="1"/>
  <c r="E29"/>
  <c r="C30"/>
  <c r="C31"/>
  <c r="D31"/>
  <c r="E31"/>
  <c r="B32"/>
  <c r="D32" s="1"/>
  <c r="E32"/>
  <c r="B33"/>
  <c r="D33"/>
  <c r="E33"/>
  <c r="B34"/>
  <c r="E34" s="1"/>
  <c r="C34"/>
  <c r="D34"/>
  <c r="B35"/>
  <c r="E35" s="1"/>
  <c r="C35"/>
  <c r="D35"/>
  <c r="C36"/>
  <c r="D36" s="1"/>
  <c r="E36"/>
  <c r="C37"/>
  <c r="C39"/>
  <c r="D39"/>
  <c r="E39"/>
  <c r="B40"/>
  <c r="D40" s="1"/>
  <c r="E40"/>
  <c r="B41"/>
  <c r="D41"/>
  <c r="E41"/>
  <c r="B42"/>
  <c r="D42" s="1"/>
  <c r="E42"/>
  <c r="B43"/>
  <c r="D43"/>
  <c r="E43"/>
  <c r="B44"/>
  <c r="E44" s="1"/>
  <c r="C44"/>
  <c r="D44"/>
  <c r="C45"/>
  <c r="D45" s="1"/>
  <c r="E45"/>
  <c r="B46"/>
  <c r="D46"/>
  <c r="E46"/>
  <c r="B47"/>
  <c r="D47" s="1"/>
  <c r="E47"/>
  <c r="B48"/>
  <c r="D48"/>
  <c r="E48"/>
  <c r="B49"/>
  <c r="D49" s="1"/>
  <c r="E49"/>
  <c r="B50"/>
  <c r="D50"/>
  <c r="E50"/>
  <c r="B51"/>
  <c r="D51" s="1"/>
  <c r="E51"/>
  <c r="B52"/>
  <c r="D52"/>
  <c r="E52"/>
  <c r="B53"/>
  <c r="C54"/>
  <c r="D54" s="1"/>
  <c r="E54"/>
  <c r="B55"/>
  <c r="D55"/>
  <c r="E55"/>
  <c r="B56"/>
  <c r="C57"/>
  <c r="D57" s="1"/>
  <c r="E57"/>
  <c r="B58"/>
  <c r="D58"/>
  <c r="E58"/>
  <c r="B59"/>
  <c r="D59" s="1"/>
  <c r="E59"/>
  <c r="B60"/>
  <c r="D60"/>
  <c r="E60"/>
  <c r="B61"/>
  <c r="D61" s="1"/>
  <c r="E61"/>
  <c r="B62"/>
  <c r="D62"/>
  <c r="E62"/>
  <c r="B63"/>
  <c r="C64"/>
  <c r="D64" s="1"/>
  <c r="E64"/>
  <c r="B65"/>
  <c r="D65"/>
  <c r="E65"/>
  <c r="B66"/>
  <c r="D66" s="1"/>
  <c r="E66"/>
  <c r="B67"/>
  <c r="D67"/>
  <c r="E67"/>
  <c r="B68"/>
  <c r="D68" s="1"/>
  <c r="E68"/>
  <c r="B69"/>
  <c r="D69"/>
  <c r="E69"/>
  <c r="B70"/>
  <c r="C71"/>
  <c r="D71" s="1"/>
  <c r="E71"/>
  <c r="B72"/>
  <c r="D72"/>
  <c r="E72"/>
  <c r="B73"/>
  <c r="D73" s="1"/>
  <c r="E73"/>
  <c r="B74"/>
  <c r="D74"/>
  <c r="E74"/>
  <c r="B75"/>
  <c r="D75" s="1"/>
  <c r="E75"/>
  <c r="C76"/>
  <c r="C77"/>
  <c r="D77"/>
  <c r="E77"/>
  <c r="B78"/>
  <c r="D78" s="1"/>
  <c r="E78"/>
  <c r="B79"/>
  <c r="D79"/>
  <c r="E79"/>
  <c r="B80"/>
  <c r="D80" s="1"/>
  <c r="E80"/>
  <c r="C81"/>
  <c r="C82"/>
  <c r="D82"/>
  <c r="E82"/>
  <c r="B83"/>
  <c r="D83" s="1"/>
  <c r="E83"/>
  <c r="B84"/>
  <c r="D84"/>
  <c r="E84"/>
  <c r="B85"/>
  <c r="E85" s="1"/>
  <c r="C85"/>
  <c r="D85"/>
  <c r="C86"/>
  <c r="D86" s="1"/>
  <c r="E86"/>
  <c r="D87"/>
  <c r="E87"/>
  <c r="B88"/>
  <c r="D88"/>
  <c r="E88"/>
  <c r="B89"/>
  <c r="D89" s="1"/>
  <c r="E89"/>
  <c r="B90"/>
  <c r="D90"/>
  <c r="E90"/>
  <c r="B91"/>
  <c r="D91" s="1"/>
  <c r="E91"/>
  <c r="B92"/>
  <c r="D92"/>
  <c r="E92"/>
  <c r="B93"/>
  <c r="D93" s="1"/>
  <c r="E93"/>
  <c r="B94"/>
  <c r="D94"/>
  <c r="E94"/>
  <c r="B95"/>
  <c r="C95"/>
  <c r="D95"/>
  <c r="E95"/>
  <c r="D96"/>
  <c r="E96"/>
  <c r="B97"/>
  <c r="D97" s="1"/>
  <c r="E97"/>
  <c r="B98"/>
  <c r="D98"/>
  <c r="E98"/>
  <c r="B99"/>
  <c r="D99" s="1"/>
  <c r="E99"/>
  <c r="C100"/>
  <c r="E100"/>
  <c r="C101"/>
  <c r="B102"/>
  <c r="C102"/>
  <c r="D102" s="1"/>
  <c r="E102"/>
  <c r="B103"/>
  <c r="D103"/>
  <c r="E103"/>
  <c r="B104"/>
  <c r="C105"/>
  <c r="D105" s="1"/>
  <c r="E105"/>
  <c r="B106"/>
  <c r="D106"/>
  <c r="E106"/>
  <c r="B107"/>
  <c r="D107" s="1"/>
  <c r="E107"/>
  <c r="B108"/>
  <c r="D108"/>
  <c r="E108"/>
  <c r="B109"/>
  <c r="B110"/>
  <c r="E110" s="1"/>
  <c r="C110"/>
  <c r="D110"/>
  <c r="B111"/>
  <c r="D111" s="1"/>
  <c r="E111"/>
  <c r="B112"/>
  <c r="D112"/>
  <c r="E112"/>
  <c r="B113"/>
  <c r="D113" s="1"/>
  <c r="E113"/>
  <c r="B114"/>
  <c r="D114"/>
  <c r="E114"/>
  <c r="B115"/>
  <c r="D115" s="1"/>
  <c r="E115"/>
  <c r="B116"/>
  <c r="D116"/>
  <c r="E116"/>
  <c r="B117"/>
  <c r="D117" s="1"/>
  <c r="E117"/>
  <c r="C118"/>
  <c r="C119"/>
  <c r="D119"/>
  <c r="E119"/>
  <c r="B120"/>
  <c r="D120" s="1"/>
  <c r="E120"/>
  <c r="C121"/>
  <c r="C122"/>
  <c r="D122"/>
  <c r="E122"/>
  <c r="B123"/>
  <c r="D123" s="1"/>
  <c r="E123"/>
  <c r="C124"/>
  <c r="B125"/>
  <c r="C125"/>
  <c r="D125" s="1"/>
  <c r="E125"/>
  <c r="B126"/>
  <c r="D126"/>
  <c r="E126"/>
  <c r="B127"/>
  <c r="D127" s="1"/>
  <c r="E127"/>
  <c r="B128"/>
  <c r="D128"/>
  <c r="E128"/>
  <c r="B129"/>
  <c r="D129" s="1"/>
  <c r="E129"/>
  <c r="C130"/>
  <c r="B131"/>
  <c r="C131"/>
  <c r="D131" s="1"/>
  <c r="E131"/>
  <c r="C132"/>
  <c r="D132"/>
  <c r="E132"/>
  <c r="B133"/>
  <c r="D133" s="1"/>
  <c r="E133"/>
  <c r="C134"/>
  <c r="C135"/>
  <c r="D135"/>
  <c r="E135"/>
  <c r="B136"/>
  <c r="D136" s="1"/>
  <c r="E136"/>
  <c r="B137"/>
  <c r="D137"/>
  <c r="E137"/>
  <c r="B138"/>
  <c r="D138" s="1"/>
  <c r="E138"/>
  <c r="C139"/>
  <c r="B140"/>
  <c r="C140"/>
  <c r="D140" s="1"/>
  <c r="E140"/>
  <c r="C141"/>
  <c r="D141"/>
  <c r="E141"/>
  <c r="B142"/>
  <c r="D142" s="1"/>
  <c r="E142"/>
  <c r="B143"/>
  <c r="D143"/>
  <c r="E143"/>
  <c r="B144"/>
  <c r="E144" s="1"/>
  <c r="C144"/>
  <c r="D144"/>
  <c r="C145"/>
  <c r="D145" s="1"/>
  <c r="E145"/>
  <c r="B146"/>
  <c r="D146"/>
  <c r="E146"/>
  <c r="B147"/>
  <c r="D147" s="1"/>
  <c r="E147"/>
  <c r="C148"/>
  <c r="C149"/>
  <c r="D149"/>
  <c r="E149"/>
  <c r="B150"/>
  <c r="D150" s="1"/>
  <c r="E150"/>
  <c r="C151"/>
  <c r="C152"/>
  <c r="D152"/>
  <c r="E152"/>
  <c r="B153"/>
  <c r="D153" s="1"/>
  <c r="E153"/>
  <c r="B154"/>
  <c r="D154"/>
  <c r="E154"/>
  <c r="B155"/>
  <c r="D155" s="1"/>
  <c r="C155"/>
  <c r="B156"/>
  <c r="E156" s="1"/>
  <c r="C156"/>
  <c r="D156"/>
  <c r="B157"/>
  <c r="D157" s="1"/>
  <c r="E157"/>
  <c r="B158"/>
  <c r="C158"/>
  <c r="D158" s="1"/>
  <c r="E158"/>
  <c r="B159"/>
  <c r="D159"/>
  <c r="E159"/>
  <c r="B160"/>
  <c r="B161"/>
  <c r="E161" s="1"/>
  <c r="C161"/>
  <c r="D161"/>
  <c r="C160" l="1"/>
  <c r="E160" s="1"/>
  <c r="E155"/>
  <c r="B151"/>
  <c r="B148"/>
  <c r="B139"/>
  <c r="D139" s="1"/>
  <c r="B134"/>
  <c r="B130"/>
  <c r="B124"/>
  <c r="B121"/>
  <c r="B118"/>
  <c r="C109"/>
  <c r="C104"/>
  <c r="B100"/>
  <c r="D100" s="1"/>
  <c r="B81"/>
  <c r="B76"/>
  <c r="C70"/>
  <c r="C63"/>
  <c r="C56"/>
  <c r="C53"/>
  <c r="B30"/>
  <c r="B20"/>
  <c r="E20" l="1"/>
  <c r="D20"/>
  <c r="B37"/>
  <c r="D53"/>
  <c r="E53"/>
  <c r="C162"/>
  <c r="D63"/>
  <c r="E63"/>
  <c r="E76"/>
  <c r="B162"/>
  <c r="D162" s="1"/>
  <c r="D76"/>
  <c r="D109"/>
  <c r="E109"/>
  <c r="E121"/>
  <c r="D121"/>
  <c r="E130"/>
  <c r="D130"/>
  <c r="E151"/>
  <c r="D151"/>
  <c r="E30"/>
  <c r="D30"/>
  <c r="D56"/>
  <c r="E56"/>
  <c r="D70"/>
  <c r="E70"/>
  <c r="E81"/>
  <c r="D81"/>
  <c r="D104"/>
  <c r="E104"/>
  <c r="E118"/>
  <c r="D118"/>
  <c r="E124"/>
  <c r="D124"/>
  <c r="E134"/>
  <c r="D134"/>
  <c r="D148"/>
  <c r="E148"/>
  <c r="E139"/>
  <c r="B101"/>
  <c r="D160"/>
  <c r="E162" l="1"/>
  <c r="C163"/>
  <c r="E101"/>
  <c r="D101"/>
  <c r="E37"/>
  <c r="D37"/>
  <c r="B163"/>
  <c r="E163" l="1"/>
  <c r="C164"/>
  <c r="E164" s="1"/>
  <c r="D163"/>
  <c r="B164"/>
  <c r="D164" s="1"/>
</calcChain>
</file>

<file path=xl/sharedStrings.xml><?xml version="1.0" encoding="utf-8"?>
<sst xmlns="http://schemas.openxmlformats.org/spreadsheetml/2006/main" count="167" uniqueCount="167">
  <si>
    <t>SASFAA, Inc.</t>
  </si>
  <si>
    <t>Budget vs. Actuals: FY06-07 - FY07 P&amp;L  Members</t>
  </si>
  <si>
    <t>July 2006 - June 2007</t>
  </si>
  <si>
    <t>Total</t>
  </si>
  <si>
    <t>Actual</t>
  </si>
  <si>
    <t>Budget</t>
  </si>
  <si>
    <t>$ Over Budget</t>
  </si>
  <si>
    <t>% of Budget</t>
  </si>
  <si>
    <t>Income</t>
  </si>
  <si>
    <t xml:space="preserve">   01 Membership Dues</t>
  </si>
  <si>
    <t xml:space="preserve">      01-1 CY Membership - General</t>
  </si>
  <si>
    <t xml:space="preserve">      01-2 CY Summer Workshop Membership</t>
  </si>
  <si>
    <t xml:space="preserve">      01-3 Next Year Pre-Paids</t>
  </si>
  <si>
    <t xml:space="preserve">   Total 01 Membership Dues</t>
  </si>
  <si>
    <t xml:space="preserve">   02 Professional Development</t>
  </si>
  <si>
    <t xml:space="preserve">      02-1 CY Summer Workshop</t>
  </si>
  <si>
    <t xml:space="preserve">   Total 02 Professional Development</t>
  </si>
  <si>
    <t xml:space="preserve">   03 Annual Meeting</t>
  </si>
  <si>
    <t xml:space="preserve">      03-1 CY Annual Meeting</t>
  </si>
  <si>
    <t xml:space="preserve">      03-2 CY Annual Meeting - Late Fees</t>
  </si>
  <si>
    <t xml:space="preserve">      03-3 PY Annual Meeting</t>
  </si>
  <si>
    <t xml:space="preserve">   Total 03 Annual Meeting</t>
  </si>
  <si>
    <t xml:space="preserve">   04 Vendors/Sponsors/Patrons</t>
  </si>
  <si>
    <t xml:space="preserve">      04-1 Conference Sponsorships</t>
  </si>
  <si>
    <t xml:space="preserve">      04-2 Summer Workshop Sponsorships</t>
  </si>
  <si>
    <t xml:space="preserve">      04-3 Other Sponsorships</t>
  </si>
  <si>
    <t xml:space="preserve">      04-4 Mid-level Workshop Sponsorships</t>
  </si>
  <si>
    <t xml:space="preserve">   Total 04 Vendors/Sponsors/Patrons</t>
  </si>
  <si>
    <t xml:space="preserve">   05 Advertising</t>
  </si>
  <si>
    <t xml:space="preserve">      05-1 Newsletter Ads</t>
  </si>
  <si>
    <t xml:space="preserve">      05-2 Banner Ads</t>
  </si>
  <si>
    <t xml:space="preserve">   Total 05 Advertising</t>
  </si>
  <si>
    <t xml:space="preserve">   07 Interest Earned</t>
  </si>
  <si>
    <t xml:space="preserve">      07-1 Interest - Federated</t>
  </si>
  <si>
    <t xml:space="preserve">      07-2 Interest - CD</t>
  </si>
  <si>
    <t xml:space="preserve">   Total 07 Interest Earned</t>
  </si>
  <si>
    <t xml:space="preserve">   08 Miscellaneous Income</t>
  </si>
  <si>
    <t xml:space="preserve">   09 Balance Forward</t>
  </si>
  <si>
    <t>Total Income</t>
  </si>
  <si>
    <t>Expenses</t>
  </si>
  <si>
    <t xml:space="preserve">   101 President</t>
  </si>
  <si>
    <t xml:space="preserve">      101A President Travel</t>
  </si>
  <si>
    <t xml:space="preserve">      101C Office/General Administrative Expenses</t>
  </si>
  <si>
    <t xml:space="preserve">      101D President- Postage</t>
  </si>
  <si>
    <t xml:space="preserve">      101K President-Miscellaneous</t>
  </si>
  <si>
    <t xml:space="preserve">   Total 101 President</t>
  </si>
  <si>
    <t xml:space="preserve">   102 President-Elect</t>
  </si>
  <si>
    <t xml:space="preserve">      102 A2 President-Elect Interregional Visits</t>
  </si>
  <si>
    <t xml:space="preserve">      102A President-Elect - Travel -Other</t>
  </si>
  <si>
    <t xml:space="preserve">      102B Travel</t>
  </si>
  <si>
    <t xml:space="preserve">      102C President-Elect Printing</t>
  </si>
  <si>
    <t xml:space="preserve">      102F Supplies</t>
  </si>
  <si>
    <t xml:space="preserve">      102K President-Elect Miscellaneous</t>
  </si>
  <si>
    <t xml:space="preserve">      A1 Leadership Conference</t>
  </si>
  <si>
    <t xml:space="preserve">   Total 102 President-Elect</t>
  </si>
  <si>
    <t xml:space="preserve">   103 Vice President</t>
  </si>
  <si>
    <t xml:space="preserve">      103A Vice President- Travel</t>
  </si>
  <si>
    <t xml:space="preserve">   Total 103 Vice President</t>
  </si>
  <si>
    <t xml:space="preserve">   104 Secretary</t>
  </si>
  <si>
    <t xml:space="preserve">      104A Secretary - Travel</t>
  </si>
  <si>
    <t xml:space="preserve">      104C Secretary - Printing</t>
  </si>
  <si>
    <t xml:space="preserve">      104D Secretary - Postage</t>
  </si>
  <si>
    <t xml:space="preserve">      104G Secretary - Supplies</t>
  </si>
  <si>
    <t xml:space="preserve">      104K Secretary - Miscellaneous</t>
  </si>
  <si>
    <t xml:space="preserve">   Total 104 Secretary</t>
  </si>
  <si>
    <t xml:space="preserve">   105 Treasurer</t>
  </si>
  <si>
    <t xml:space="preserve">      105A Treasurer - Travel</t>
  </si>
  <si>
    <t xml:space="preserve">      105C Printing</t>
  </si>
  <si>
    <t xml:space="preserve">      105D Shipping, Freight &amp; Delivery</t>
  </si>
  <si>
    <t xml:space="preserve">      105F Treasurer - Supplies</t>
  </si>
  <si>
    <t xml:space="preserve">      105K Treasurer- Miscellaneous</t>
  </si>
  <si>
    <t xml:space="preserve">   Total 105 Treasurer</t>
  </si>
  <si>
    <t xml:space="preserve">   106 Past President</t>
  </si>
  <si>
    <t xml:space="preserve">      106-1 Past President - Scholarship</t>
  </si>
  <si>
    <t xml:space="preserve">      106A Past President</t>
  </si>
  <si>
    <t xml:space="preserve">      106D Past President - Postage</t>
  </si>
  <si>
    <t xml:space="preserve">      106F Past President - Supplies</t>
  </si>
  <si>
    <t xml:space="preserve">   Total 106 Past President</t>
  </si>
  <si>
    <t xml:space="preserve">   201 Membership/Directory</t>
  </si>
  <si>
    <t xml:space="preserve">      201A Membership - Travel</t>
  </si>
  <si>
    <t xml:space="preserve">      201D Membership - Postage</t>
  </si>
  <si>
    <t xml:space="preserve">      201F Membership -Supplies</t>
  </si>
  <si>
    <t xml:space="preserve">   Total 201 Membership/Directory</t>
  </si>
  <si>
    <t xml:space="preserve">   202 Electronic Services</t>
  </si>
  <si>
    <t xml:space="preserve">      202A Electronic Services - Travel</t>
  </si>
  <si>
    <t xml:space="preserve">      202K Electronic Services - Misc</t>
  </si>
  <si>
    <t xml:space="preserve">   Total 202 Electronic Services</t>
  </si>
  <si>
    <t xml:space="preserve">   203 Professional Advancement</t>
  </si>
  <si>
    <t xml:space="preserve">      203-1 CY Summer Workshop</t>
  </si>
  <si>
    <t xml:space="preserve">         203-1A CY Summer Workshop - Travel</t>
  </si>
  <si>
    <t xml:space="preserve">         203-1C CY Summer Workshop - Printing</t>
  </si>
  <si>
    <t xml:space="preserve">         203-1D CY Summer Workshop Postage</t>
  </si>
  <si>
    <t xml:space="preserve">         203-1F CY Summer Workshop - Supplies</t>
  </si>
  <si>
    <t xml:space="preserve">         203-1G NAOW Honorarium</t>
  </si>
  <si>
    <t xml:space="preserve">         203-1J CY Summer Workshop - Meetings</t>
  </si>
  <si>
    <t xml:space="preserve">         203-1K CY Summer Workshop - Miscellaneous</t>
  </si>
  <si>
    <t xml:space="preserve">      Total 203-1 CY Summer Workshop</t>
  </si>
  <si>
    <t xml:space="preserve">      203-4 Intermediate Workshop</t>
  </si>
  <si>
    <t xml:space="preserve">         203-4A Intermediate Workshop - Travel</t>
  </si>
  <si>
    <t xml:space="preserve">         203-4G Intermediate Workshop - Honorarium</t>
  </si>
  <si>
    <t xml:space="preserve">         203-4K Intermediate Workshop - Miscellaneous</t>
  </si>
  <si>
    <t xml:space="preserve">      Total 203-4 Intermediate Workshop</t>
  </si>
  <si>
    <t xml:space="preserve">   Total 203 Professional Advancement</t>
  </si>
  <si>
    <t xml:space="preserve">   204 Newsletter</t>
  </si>
  <si>
    <t xml:space="preserve">      204A Newsletter Travel</t>
  </si>
  <si>
    <t xml:space="preserve">   Total 204 Newsletter</t>
  </si>
  <si>
    <t xml:space="preserve">   205 Budget and Finance</t>
  </si>
  <si>
    <t xml:space="preserve">      205A Budget and Finance - Travel</t>
  </si>
  <si>
    <t xml:space="preserve">      205D Budget &amp; Finance - Postage</t>
  </si>
  <si>
    <t xml:space="preserve">      205J Budget and Finance - Meetings</t>
  </si>
  <si>
    <t xml:space="preserve">   Total 205 Budget and Finance</t>
  </si>
  <si>
    <t xml:space="preserve">   206 Annual Meeting Program</t>
  </si>
  <si>
    <t xml:space="preserve">      206A Annual Conference - Travel</t>
  </si>
  <si>
    <t xml:space="preserve">      206C Annual Conference - Printing</t>
  </si>
  <si>
    <t xml:space="preserve">      206D Annual Conference - Postage</t>
  </si>
  <si>
    <t xml:space="preserve">      206F Annual Conference - Supplies</t>
  </si>
  <si>
    <t xml:space="preserve">      206G Annual Conference Honorarium</t>
  </si>
  <si>
    <t xml:space="preserve">      206J Annual Conference - Meeting</t>
  </si>
  <si>
    <t xml:space="preserve">      206K Annual Conference - Miscellaneous</t>
  </si>
  <si>
    <t xml:space="preserve">   Total 206 Annual Meeting Program</t>
  </si>
  <si>
    <t xml:space="preserve">   207 Site Selection</t>
  </si>
  <si>
    <t xml:space="preserve">      207A Site Selection - Travel</t>
  </si>
  <si>
    <t xml:space="preserve">   Total 207 Site Selection</t>
  </si>
  <si>
    <t xml:space="preserve">   208 Nominations and Elections</t>
  </si>
  <si>
    <t xml:space="preserve">      208A Nominations - Travel</t>
  </si>
  <si>
    <t xml:space="preserve">   Total 208 Nominations and Elections</t>
  </si>
  <si>
    <t xml:space="preserve">   210 Executive Board</t>
  </si>
  <si>
    <t xml:space="preserve">      210-2 Executive Board - Transition</t>
  </si>
  <si>
    <t xml:space="preserve">      210-3 Executive Board - State President Rooms</t>
  </si>
  <si>
    <t xml:space="preserve">      210-5 Executive Board - Meetings</t>
  </si>
  <si>
    <t xml:space="preserve">      210-K Executive Board - Miscellaneous</t>
  </si>
  <si>
    <t xml:space="preserve">   Total 210 Executive Board</t>
  </si>
  <si>
    <t xml:space="preserve">   211 President's Contingency</t>
  </si>
  <si>
    <t xml:space="preserve">   213 Advance Program Planning</t>
  </si>
  <si>
    <t xml:space="preserve">      213A Advance Program Planning - Travel</t>
  </si>
  <si>
    <t xml:space="preserve">   Total 213 Advance Program Planning</t>
  </si>
  <si>
    <t xml:space="preserve">   214 Diversity Issues</t>
  </si>
  <si>
    <t xml:space="preserve">      214A Diversity -Travel</t>
  </si>
  <si>
    <t xml:space="preserve">      214G Diversity - Honorarium</t>
  </si>
  <si>
    <t xml:space="preserve">      214K Diversity - Miscellaneous</t>
  </si>
  <si>
    <t xml:space="preserve">   Total 214 Diversity Issues</t>
  </si>
  <si>
    <t xml:space="preserve">   215 Prior Administration Bills</t>
  </si>
  <si>
    <t xml:space="preserve">   216 Legislative Relations</t>
  </si>
  <si>
    <t xml:space="preserve">      216A Legislative - Travel</t>
  </si>
  <si>
    <t xml:space="preserve">      216K Legislative - Misc</t>
  </si>
  <si>
    <t xml:space="preserve">   Total 216 Legislative Relations</t>
  </si>
  <si>
    <t xml:space="preserve">   217 Long Range Planning</t>
  </si>
  <si>
    <t xml:space="preserve">      217A Long Range Planning - Travel</t>
  </si>
  <si>
    <t xml:space="preserve">      217K Long Range Planning - Miscellaneous</t>
  </si>
  <si>
    <t xml:space="preserve">   Total 217 Long Range Planning</t>
  </si>
  <si>
    <t xml:space="preserve">   218 Vendor/Sponsor/Patron</t>
  </si>
  <si>
    <t xml:space="preserve">      218A Vendor/Sponsor - Travel</t>
  </si>
  <si>
    <t xml:space="preserve">   Total 218 Vendor/Sponsor/Patron</t>
  </si>
  <si>
    <t xml:space="preserve">   219 Special Projects</t>
  </si>
  <si>
    <t xml:space="preserve">      219A Special Projects - Travel</t>
  </si>
  <si>
    <t xml:space="preserve">      219K Special Projects - Miscellaneous</t>
  </si>
  <si>
    <t xml:space="preserve">   Total 219 Special Projects</t>
  </si>
  <si>
    <t xml:space="preserve">   221 Computer Hardware/Software</t>
  </si>
  <si>
    <t xml:space="preserve">   222 Purchase of CD</t>
  </si>
  <si>
    <t xml:space="preserve">   223 Project Development</t>
  </si>
  <si>
    <t xml:space="preserve">      223A Project Development - Travel</t>
  </si>
  <si>
    <t xml:space="preserve">   Total 223 Project Development</t>
  </si>
  <si>
    <t xml:space="preserve">   224 Accounting Fees and Taxes</t>
  </si>
  <si>
    <t>Total Expenses</t>
  </si>
  <si>
    <t>Net Operating Income</t>
  </si>
  <si>
    <t>Net Income</t>
  </si>
  <si>
    <t>Monday, Aug 20, 2007 08:27:00 AM GMT-5 - Cash Basis</t>
  </si>
</sst>
</file>

<file path=xl/styles.xml><?xml version="1.0" encoding="utf-8"?>
<styleSheet xmlns="http://schemas.openxmlformats.org/spreadsheetml/2006/main">
  <numFmts count="1">
    <numFmt numFmtId="168" formatCode="&quot;$&quot;* #,##0.00"/>
  </numFmts>
  <fonts count="6">
    <font>
      <sz val="10"/>
      <name val="Arial"/>
    </font>
    <font>
      <b/>
      <sz val="10"/>
      <name val="Arial"/>
    </font>
    <font>
      <b/>
      <sz val="9"/>
      <name val="Arial"/>
    </font>
    <font>
      <b/>
      <sz val="8"/>
      <name val="Arial"/>
    </font>
    <font>
      <sz val="8"/>
      <name val="Arial"/>
    </font>
    <font>
      <b/>
      <sz val="14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NumberFormat="1" applyFont="1" applyFill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4" fontId="4" fillId="0" borderId="0" xfId="0" applyNumberFormat="1" applyFont="1" applyFill="1" applyAlignment="1">
      <alignment horizontal="right"/>
    </xf>
    <xf numFmtId="10" fontId="4" fillId="0" borderId="0" xfId="0" applyNumberFormat="1" applyFont="1" applyFill="1" applyAlignment="1">
      <alignment horizontal="right"/>
    </xf>
    <xf numFmtId="10" fontId="3" fillId="0" borderId="0" xfId="0" applyNumberFormat="1" applyFont="1" applyFill="1" applyAlignment="1">
      <alignment horizontal="left"/>
    </xf>
    <xf numFmtId="168" fontId="3" fillId="0" borderId="2" xfId="0" applyNumberFormat="1" applyFont="1" applyFill="1" applyBorder="1" applyAlignment="1">
      <alignment horizontal="right"/>
    </xf>
    <xf numFmtId="10" fontId="3" fillId="0" borderId="2" xfId="0" applyNumberFormat="1" applyFont="1" applyFill="1" applyBorder="1" applyAlignment="1">
      <alignment horizontal="right"/>
    </xf>
    <xf numFmtId="168" fontId="3" fillId="0" borderId="3" xfId="0" applyNumberFormat="1" applyFont="1" applyFill="1" applyBorder="1" applyAlignment="1">
      <alignment horizontal="right"/>
    </xf>
    <xf numFmtId="10" fontId="3" fillId="0" borderId="3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68"/>
  <sheetViews>
    <sheetView tabSelected="1" workbookViewId="0">
      <selection sqref="A1:E1"/>
    </sheetView>
  </sheetViews>
  <sheetFormatPr defaultColWidth="9.109375" defaultRowHeight="13.2"/>
  <cols>
    <col min="1" max="1" width="53" customWidth="1"/>
    <col min="2" max="5" width="18" customWidth="1"/>
  </cols>
  <sheetData>
    <row r="1" spans="1:5" ht="17.399999999999999">
      <c r="A1" s="16" t="s">
        <v>0</v>
      </c>
      <c r="B1" s="16"/>
      <c r="C1" s="16"/>
      <c r="D1" s="16"/>
      <c r="E1" s="16"/>
    </row>
    <row r="2" spans="1:5" ht="17.399999999999999">
      <c r="A2" s="16" t="s">
        <v>1</v>
      </c>
      <c r="B2" s="16"/>
      <c r="C2" s="16"/>
      <c r="D2" s="16"/>
      <c r="E2" s="16"/>
    </row>
    <row r="3" spans="1:5">
      <c r="A3" s="17" t="s">
        <v>2</v>
      </c>
      <c r="B3" s="17"/>
      <c r="C3" s="17"/>
      <c r="D3" s="17"/>
      <c r="E3" s="17"/>
    </row>
    <row r="5" spans="1:5">
      <c r="A5" s="1"/>
      <c r="B5" s="2" t="s">
        <v>3</v>
      </c>
      <c r="C5" s="2"/>
      <c r="D5" s="2"/>
      <c r="E5" s="2"/>
    </row>
    <row r="6" spans="1:5">
      <c r="A6" s="3"/>
      <c r="B6" s="4" t="s">
        <v>4</v>
      </c>
      <c r="C6" s="4" t="s">
        <v>5</v>
      </c>
      <c r="D6" s="4" t="s">
        <v>6</v>
      </c>
      <c r="E6" s="4" t="s">
        <v>7</v>
      </c>
    </row>
    <row r="7" spans="1:5">
      <c r="A7" s="5" t="s">
        <v>8</v>
      </c>
      <c r="B7" s="6"/>
      <c r="C7" s="6"/>
      <c r="D7" s="6"/>
      <c r="E7" s="6"/>
    </row>
    <row r="8" spans="1:5">
      <c r="A8" s="7" t="s">
        <v>9</v>
      </c>
      <c r="B8" s="8">
        <f>25</f>
        <v>25</v>
      </c>
      <c r="C8" s="8">
        <f>37000</f>
        <v>37000</v>
      </c>
      <c r="D8" s="8">
        <f t="shared" ref="D8:D37" si="0">(B8)-C8</f>
        <v>-36975</v>
      </c>
      <c r="E8" s="9">
        <f t="shared" ref="E8:E37" si="1">IF(C8=0,"",(B8)/C8)</f>
        <v>6.7567567567567571E-4</v>
      </c>
    </row>
    <row r="9" spans="1:5">
      <c r="A9" s="10" t="s">
        <v>10</v>
      </c>
      <c r="B9" s="8">
        <f>35190.59</f>
        <v>35190.589999999997</v>
      </c>
      <c r="C9" s="8"/>
      <c r="D9" s="8">
        <f t="shared" si="0"/>
        <v>35190.589999999997</v>
      </c>
      <c r="E9" s="9" t="str">
        <f t="shared" si="1"/>
        <v/>
      </c>
    </row>
    <row r="10" spans="1:5">
      <c r="A10" s="10" t="s">
        <v>11</v>
      </c>
      <c r="B10" s="8">
        <f>25</f>
        <v>25</v>
      </c>
      <c r="C10" s="8"/>
      <c r="D10" s="8">
        <f t="shared" si="0"/>
        <v>25</v>
      </c>
      <c r="E10" s="9" t="str">
        <f t="shared" si="1"/>
        <v/>
      </c>
    </row>
    <row r="11" spans="1:5">
      <c r="A11" s="10" t="s">
        <v>12</v>
      </c>
      <c r="B11" s="8">
        <f>3819.44</f>
        <v>3819.44</v>
      </c>
      <c r="C11" s="8"/>
      <c r="D11" s="8">
        <f t="shared" si="0"/>
        <v>3819.44</v>
      </c>
      <c r="E11" s="9" t="str">
        <f t="shared" si="1"/>
        <v/>
      </c>
    </row>
    <row r="12" spans="1:5">
      <c r="A12" s="10" t="s">
        <v>13</v>
      </c>
      <c r="B12" s="11">
        <f>(((B8)+B9)+B10)+B11</f>
        <v>39060.03</v>
      </c>
      <c r="C12" s="11">
        <f>(((C8)+C9)+C10)+C11</f>
        <v>37000</v>
      </c>
      <c r="D12" s="11">
        <f t="shared" si="0"/>
        <v>2060.0299999999988</v>
      </c>
      <c r="E12" s="12">
        <f t="shared" si="1"/>
        <v>1.0556764864864865</v>
      </c>
    </row>
    <row r="13" spans="1:5">
      <c r="A13" s="10" t="s">
        <v>14</v>
      </c>
      <c r="B13" s="6"/>
      <c r="C13" s="8">
        <f>91650</f>
        <v>91650</v>
      </c>
      <c r="D13" s="8">
        <f t="shared" si="0"/>
        <v>-91650</v>
      </c>
      <c r="E13" s="9">
        <f t="shared" si="1"/>
        <v>0</v>
      </c>
    </row>
    <row r="14" spans="1:5">
      <c r="A14" s="10" t="s">
        <v>15</v>
      </c>
      <c r="B14" s="8">
        <f>97770.96</f>
        <v>97770.96</v>
      </c>
      <c r="C14" s="8"/>
      <c r="D14" s="8">
        <f t="shared" si="0"/>
        <v>97770.96</v>
      </c>
      <c r="E14" s="9" t="str">
        <f t="shared" si="1"/>
        <v/>
      </c>
    </row>
    <row r="15" spans="1:5">
      <c r="A15" s="10" t="s">
        <v>16</v>
      </c>
      <c r="B15" s="11">
        <f>(B13)+B14</f>
        <v>97770.96</v>
      </c>
      <c r="C15" s="11">
        <f>(C13)+C14</f>
        <v>91650</v>
      </c>
      <c r="D15" s="11">
        <f t="shared" si="0"/>
        <v>6120.9600000000064</v>
      </c>
      <c r="E15" s="12">
        <f t="shared" si="1"/>
        <v>1.0667862520458267</v>
      </c>
    </row>
    <row r="16" spans="1:5">
      <c r="A16" s="10" t="s">
        <v>17</v>
      </c>
      <c r="B16" s="8">
        <f>50</f>
        <v>50</v>
      </c>
      <c r="C16" s="8">
        <f>146150</f>
        <v>146150</v>
      </c>
      <c r="D16" s="8">
        <f t="shared" si="0"/>
        <v>-146100</v>
      </c>
      <c r="E16" s="9">
        <f t="shared" si="1"/>
        <v>3.4211426616489907E-4</v>
      </c>
    </row>
    <row r="17" spans="1:5">
      <c r="A17" s="10" t="s">
        <v>18</v>
      </c>
      <c r="B17" s="8">
        <f>151006.92</f>
        <v>151006.92000000001</v>
      </c>
      <c r="C17" s="8"/>
      <c r="D17" s="8">
        <f t="shared" si="0"/>
        <v>151006.92000000001</v>
      </c>
      <c r="E17" s="9" t="str">
        <f t="shared" si="1"/>
        <v/>
      </c>
    </row>
    <row r="18" spans="1:5">
      <c r="A18" s="10" t="s">
        <v>19</v>
      </c>
      <c r="B18" s="8">
        <f>3307.78</f>
        <v>3307.78</v>
      </c>
      <c r="C18" s="8"/>
      <c r="D18" s="8">
        <f t="shared" si="0"/>
        <v>3307.78</v>
      </c>
      <c r="E18" s="9" t="str">
        <f t="shared" si="1"/>
        <v/>
      </c>
    </row>
    <row r="19" spans="1:5">
      <c r="A19" s="10" t="s">
        <v>20</v>
      </c>
      <c r="B19" s="8">
        <f>370</f>
        <v>370</v>
      </c>
      <c r="C19" s="8"/>
      <c r="D19" s="8">
        <f t="shared" si="0"/>
        <v>370</v>
      </c>
      <c r="E19" s="9" t="str">
        <f t="shared" si="1"/>
        <v/>
      </c>
    </row>
    <row r="20" spans="1:5">
      <c r="A20" s="10" t="s">
        <v>21</v>
      </c>
      <c r="B20" s="11">
        <f>(((B16)+B17)+B18)+B19</f>
        <v>154734.70000000001</v>
      </c>
      <c r="C20" s="11">
        <f>(((C16)+C17)+C18)+C19</f>
        <v>146150</v>
      </c>
      <c r="D20" s="11">
        <f t="shared" si="0"/>
        <v>8584.7000000000116</v>
      </c>
      <c r="E20" s="12">
        <f t="shared" si="1"/>
        <v>1.0587389668149163</v>
      </c>
    </row>
    <row r="21" spans="1:5">
      <c r="A21" s="10" t="s">
        <v>22</v>
      </c>
      <c r="B21" s="6"/>
      <c r="C21" s="8">
        <f>162500</f>
        <v>162500</v>
      </c>
      <c r="D21" s="8">
        <f t="shared" si="0"/>
        <v>-162500</v>
      </c>
      <c r="E21" s="9">
        <f t="shared" si="1"/>
        <v>0</v>
      </c>
    </row>
    <row r="22" spans="1:5">
      <c r="A22" s="10" t="s">
        <v>23</v>
      </c>
      <c r="B22" s="8">
        <f>130436.53</f>
        <v>130436.53</v>
      </c>
      <c r="C22" s="8"/>
      <c r="D22" s="8">
        <f t="shared" si="0"/>
        <v>130436.53</v>
      </c>
      <c r="E22" s="9" t="str">
        <f t="shared" si="1"/>
        <v/>
      </c>
    </row>
    <row r="23" spans="1:5">
      <c r="A23" s="10" t="s">
        <v>24</v>
      </c>
      <c r="B23" s="8">
        <f>3031.08</f>
        <v>3031.08</v>
      </c>
      <c r="C23" s="8"/>
      <c r="D23" s="8">
        <f t="shared" si="0"/>
        <v>3031.08</v>
      </c>
      <c r="E23" s="9" t="str">
        <f t="shared" si="1"/>
        <v/>
      </c>
    </row>
    <row r="24" spans="1:5">
      <c r="A24" s="10" t="s">
        <v>25</v>
      </c>
      <c r="B24" s="8">
        <f>11952.56</f>
        <v>11952.56</v>
      </c>
      <c r="C24" s="8"/>
      <c r="D24" s="8">
        <f t="shared" si="0"/>
        <v>11952.56</v>
      </c>
      <c r="E24" s="9" t="str">
        <f t="shared" si="1"/>
        <v/>
      </c>
    </row>
    <row r="25" spans="1:5">
      <c r="A25" s="10" t="s">
        <v>26</v>
      </c>
      <c r="B25" s="8">
        <f>2791.4</f>
        <v>2791.4</v>
      </c>
      <c r="C25" s="8"/>
      <c r="D25" s="8">
        <f t="shared" si="0"/>
        <v>2791.4</v>
      </c>
      <c r="E25" s="9" t="str">
        <f t="shared" si="1"/>
        <v/>
      </c>
    </row>
    <row r="26" spans="1:5">
      <c r="A26" s="10" t="s">
        <v>27</v>
      </c>
      <c r="B26" s="11">
        <f>((((B21)+B22)+B23)+B24)+B25</f>
        <v>148211.56999999998</v>
      </c>
      <c r="C26" s="11">
        <f>((((C21)+C22)+C23)+C24)+C25</f>
        <v>162500</v>
      </c>
      <c r="D26" s="11">
        <f t="shared" si="0"/>
        <v>-14288.430000000022</v>
      </c>
      <c r="E26" s="12">
        <f t="shared" si="1"/>
        <v>0.91207119999999986</v>
      </c>
    </row>
    <row r="27" spans="1:5">
      <c r="A27" s="10" t="s">
        <v>28</v>
      </c>
      <c r="B27" s="6"/>
      <c r="C27" s="8">
        <f>47000</f>
        <v>47000</v>
      </c>
      <c r="D27" s="8">
        <f t="shared" si="0"/>
        <v>-47000</v>
      </c>
      <c r="E27" s="9">
        <f t="shared" si="1"/>
        <v>0</v>
      </c>
    </row>
    <row r="28" spans="1:5">
      <c r="A28" s="10" t="s">
        <v>29</v>
      </c>
      <c r="B28" s="8">
        <f>23440</f>
        <v>23440</v>
      </c>
      <c r="C28" s="8"/>
      <c r="D28" s="8">
        <f t="shared" si="0"/>
        <v>23440</v>
      </c>
      <c r="E28" s="9" t="str">
        <f t="shared" si="1"/>
        <v/>
      </c>
    </row>
    <row r="29" spans="1:5">
      <c r="A29" s="10" t="s">
        <v>30</v>
      </c>
      <c r="B29" s="8">
        <f>23100</f>
        <v>23100</v>
      </c>
      <c r="C29" s="8"/>
      <c r="D29" s="8">
        <f t="shared" si="0"/>
        <v>23100</v>
      </c>
      <c r="E29" s="9" t="str">
        <f t="shared" si="1"/>
        <v/>
      </c>
    </row>
    <row r="30" spans="1:5">
      <c r="A30" s="10" t="s">
        <v>31</v>
      </c>
      <c r="B30" s="11">
        <f>((B27)+B28)+B29</f>
        <v>46540</v>
      </c>
      <c r="C30" s="11">
        <f>((C27)+C28)+C29</f>
        <v>47000</v>
      </c>
      <c r="D30" s="11">
        <f t="shared" si="0"/>
        <v>-460</v>
      </c>
      <c r="E30" s="12">
        <f t="shared" si="1"/>
        <v>0.99021276595744678</v>
      </c>
    </row>
    <row r="31" spans="1:5">
      <c r="A31" s="10" t="s">
        <v>32</v>
      </c>
      <c r="B31" s="6"/>
      <c r="C31" s="8">
        <f>21000</f>
        <v>21000</v>
      </c>
      <c r="D31" s="8">
        <f t="shared" si="0"/>
        <v>-21000</v>
      </c>
      <c r="E31" s="9">
        <f t="shared" si="1"/>
        <v>0</v>
      </c>
    </row>
    <row r="32" spans="1:5">
      <c r="A32" s="10" t="s">
        <v>33</v>
      </c>
      <c r="B32" s="8">
        <f>6915.94</f>
        <v>6915.94</v>
      </c>
      <c r="C32" s="8"/>
      <c r="D32" s="8">
        <f t="shared" si="0"/>
        <v>6915.94</v>
      </c>
      <c r="E32" s="9" t="str">
        <f t="shared" si="1"/>
        <v/>
      </c>
    </row>
    <row r="33" spans="1:5">
      <c r="A33" s="10" t="s">
        <v>34</v>
      </c>
      <c r="B33" s="8">
        <f>21952.09</f>
        <v>21952.09</v>
      </c>
      <c r="C33" s="8"/>
      <c r="D33" s="8">
        <f t="shared" si="0"/>
        <v>21952.09</v>
      </c>
      <c r="E33" s="9" t="str">
        <f t="shared" si="1"/>
        <v/>
      </c>
    </row>
    <row r="34" spans="1:5">
      <c r="A34" s="10" t="s">
        <v>35</v>
      </c>
      <c r="B34" s="11">
        <f>((B31)+B32)+B33</f>
        <v>28868.03</v>
      </c>
      <c r="C34" s="11">
        <f>((C31)+C32)+C33</f>
        <v>21000</v>
      </c>
      <c r="D34" s="11">
        <f t="shared" si="0"/>
        <v>7868.0299999999988</v>
      </c>
      <c r="E34" s="12">
        <f t="shared" si="1"/>
        <v>1.3746680952380952</v>
      </c>
    </row>
    <row r="35" spans="1:5">
      <c r="A35" s="10" t="s">
        <v>36</v>
      </c>
      <c r="B35" s="8">
        <f>12809.69</f>
        <v>12809.69</v>
      </c>
      <c r="C35" s="8">
        <f>12100</f>
        <v>12100</v>
      </c>
      <c r="D35" s="8">
        <f t="shared" si="0"/>
        <v>709.69000000000051</v>
      </c>
      <c r="E35" s="9">
        <f t="shared" si="1"/>
        <v>1.0586520661157026</v>
      </c>
    </row>
    <row r="36" spans="1:5">
      <c r="A36" s="10" t="s">
        <v>37</v>
      </c>
      <c r="B36" s="6"/>
      <c r="C36" s="8">
        <f>36050</f>
        <v>36050</v>
      </c>
      <c r="D36" s="8">
        <f t="shared" si="0"/>
        <v>-36050</v>
      </c>
      <c r="E36" s="9">
        <f t="shared" si="1"/>
        <v>0</v>
      </c>
    </row>
    <row r="37" spans="1:5">
      <c r="A37" s="10" t="s">
        <v>38</v>
      </c>
      <c r="B37" s="11">
        <f>(((((((B12)+B15)+B20)+B26)+B30)+B34)+B35)+B36</f>
        <v>527994.98</v>
      </c>
      <c r="C37" s="11">
        <f>(((((((C12)+C15)+C20)+C26)+C30)+C34)+C35)+C36</f>
        <v>553450</v>
      </c>
      <c r="D37" s="11">
        <f t="shared" si="0"/>
        <v>-25455.020000000019</v>
      </c>
      <c r="E37" s="12">
        <f t="shared" si="1"/>
        <v>0.95400664920046974</v>
      </c>
    </row>
    <row r="38" spans="1:5">
      <c r="A38" s="10" t="s">
        <v>39</v>
      </c>
      <c r="B38" s="6"/>
      <c r="C38" s="6"/>
      <c r="D38" s="6"/>
      <c r="E38" s="6"/>
    </row>
    <row r="39" spans="1:5">
      <c r="A39" s="7" t="s">
        <v>40</v>
      </c>
      <c r="B39" s="6"/>
      <c r="C39" s="8">
        <f>9100</f>
        <v>9100</v>
      </c>
      <c r="D39" s="8">
        <f t="shared" ref="D39:D70" si="2">(B39)-C39</f>
        <v>-9100</v>
      </c>
      <c r="E39" s="9">
        <f t="shared" ref="E39:E70" si="3">IF(C39=0,"",(B39)/C39)</f>
        <v>0</v>
      </c>
    </row>
    <row r="40" spans="1:5">
      <c r="A40" s="10" t="s">
        <v>41</v>
      </c>
      <c r="B40" s="8">
        <f>8035.34</f>
        <v>8035.34</v>
      </c>
      <c r="C40" s="8"/>
      <c r="D40" s="8">
        <f t="shared" si="2"/>
        <v>8035.34</v>
      </c>
      <c r="E40" s="9" t="str">
        <f t="shared" si="3"/>
        <v/>
      </c>
    </row>
    <row r="41" spans="1:5">
      <c r="A41" s="10" t="s">
        <v>42</v>
      </c>
      <c r="B41" s="8">
        <f>20.3</f>
        <v>20.3</v>
      </c>
      <c r="C41" s="8"/>
      <c r="D41" s="8">
        <f t="shared" si="2"/>
        <v>20.3</v>
      </c>
      <c r="E41" s="9" t="str">
        <f t="shared" si="3"/>
        <v/>
      </c>
    </row>
    <row r="42" spans="1:5">
      <c r="A42" s="10" t="s">
        <v>43</v>
      </c>
      <c r="B42" s="8">
        <f>14.71</f>
        <v>14.71</v>
      </c>
      <c r="C42" s="8"/>
      <c r="D42" s="8">
        <f t="shared" si="2"/>
        <v>14.71</v>
      </c>
      <c r="E42" s="9" t="str">
        <f t="shared" si="3"/>
        <v/>
      </c>
    </row>
    <row r="43" spans="1:5">
      <c r="A43" s="10" t="s">
        <v>44</v>
      </c>
      <c r="B43" s="8">
        <f>997.36</f>
        <v>997.36</v>
      </c>
      <c r="C43" s="8"/>
      <c r="D43" s="8">
        <f t="shared" si="2"/>
        <v>997.36</v>
      </c>
      <c r="E43" s="9" t="str">
        <f t="shared" si="3"/>
        <v/>
      </c>
    </row>
    <row r="44" spans="1:5">
      <c r="A44" s="10" t="s">
        <v>45</v>
      </c>
      <c r="B44" s="11">
        <f>((((B39)+B40)+B41)+B42)+B43</f>
        <v>9067.7100000000009</v>
      </c>
      <c r="C44" s="11">
        <f>((((C39)+C40)+C41)+C42)+C43</f>
        <v>9100</v>
      </c>
      <c r="D44" s="11">
        <f t="shared" si="2"/>
        <v>-32.289999999999054</v>
      </c>
      <c r="E44" s="12">
        <f t="shared" si="3"/>
        <v>0.99645164835164846</v>
      </c>
    </row>
    <row r="45" spans="1:5">
      <c r="A45" s="10" t="s">
        <v>46</v>
      </c>
      <c r="B45" s="6"/>
      <c r="C45" s="8">
        <f>8420</f>
        <v>8420</v>
      </c>
      <c r="D45" s="8">
        <f t="shared" si="2"/>
        <v>-8420</v>
      </c>
      <c r="E45" s="9">
        <f t="shared" si="3"/>
        <v>0</v>
      </c>
    </row>
    <row r="46" spans="1:5">
      <c r="A46" s="10" t="s">
        <v>47</v>
      </c>
      <c r="B46" s="8">
        <f>389.1</f>
        <v>389.1</v>
      </c>
      <c r="C46" s="8"/>
      <c r="D46" s="8">
        <f t="shared" si="2"/>
        <v>389.1</v>
      </c>
      <c r="E46" s="9" t="str">
        <f t="shared" si="3"/>
        <v/>
      </c>
    </row>
    <row r="47" spans="1:5">
      <c r="A47" s="10" t="s">
        <v>48</v>
      </c>
      <c r="B47" s="8">
        <f>4197.1</f>
        <v>4197.1000000000004</v>
      </c>
      <c r="C47" s="8"/>
      <c r="D47" s="8">
        <f t="shared" si="2"/>
        <v>4197.1000000000004</v>
      </c>
      <c r="E47" s="9" t="str">
        <f t="shared" si="3"/>
        <v/>
      </c>
    </row>
    <row r="48" spans="1:5">
      <c r="A48" s="10" t="s">
        <v>49</v>
      </c>
      <c r="B48" s="8">
        <f>1516.62</f>
        <v>1516.62</v>
      </c>
      <c r="C48" s="8"/>
      <c r="D48" s="8">
        <f t="shared" si="2"/>
        <v>1516.62</v>
      </c>
      <c r="E48" s="9" t="str">
        <f t="shared" si="3"/>
        <v/>
      </c>
    </row>
    <row r="49" spans="1:5">
      <c r="A49" s="10" t="s">
        <v>50</v>
      </c>
      <c r="B49" s="8">
        <f>9.2</f>
        <v>9.1999999999999993</v>
      </c>
      <c r="C49" s="8"/>
      <c r="D49" s="8">
        <f t="shared" si="2"/>
        <v>9.1999999999999993</v>
      </c>
      <c r="E49" s="9" t="str">
        <f t="shared" si="3"/>
        <v/>
      </c>
    </row>
    <row r="50" spans="1:5">
      <c r="A50" s="10" t="s">
        <v>51</v>
      </c>
      <c r="B50" s="8">
        <f>537.81</f>
        <v>537.80999999999995</v>
      </c>
      <c r="C50" s="8"/>
      <c r="D50" s="8">
        <f t="shared" si="2"/>
        <v>537.80999999999995</v>
      </c>
      <c r="E50" s="9" t="str">
        <f t="shared" si="3"/>
        <v/>
      </c>
    </row>
    <row r="51" spans="1:5">
      <c r="A51" s="10" t="s">
        <v>52</v>
      </c>
      <c r="B51" s="8">
        <f>480</f>
        <v>480</v>
      </c>
      <c r="C51" s="8"/>
      <c r="D51" s="8">
        <f t="shared" si="2"/>
        <v>480</v>
      </c>
      <c r="E51" s="9" t="str">
        <f t="shared" si="3"/>
        <v/>
      </c>
    </row>
    <row r="52" spans="1:5">
      <c r="A52" s="10" t="s">
        <v>53</v>
      </c>
      <c r="B52" s="8">
        <f>1180.91</f>
        <v>1180.9100000000001</v>
      </c>
      <c r="C52" s="8"/>
      <c r="D52" s="8">
        <f t="shared" si="2"/>
        <v>1180.9100000000001</v>
      </c>
      <c r="E52" s="9" t="str">
        <f t="shared" si="3"/>
        <v/>
      </c>
    </row>
    <row r="53" spans="1:5">
      <c r="A53" s="10" t="s">
        <v>54</v>
      </c>
      <c r="B53" s="11">
        <f>(((((((B45)+B46)+B47)+B48)+B49)+B50)+B51)+B52</f>
        <v>8310.74</v>
      </c>
      <c r="C53" s="11">
        <f>(((((((C45)+C46)+C47)+C48)+C49)+C50)+C51)+C52</f>
        <v>8420</v>
      </c>
      <c r="D53" s="11">
        <f t="shared" si="2"/>
        <v>-109.26000000000022</v>
      </c>
      <c r="E53" s="12">
        <f t="shared" si="3"/>
        <v>0.98702375296912115</v>
      </c>
    </row>
    <row r="54" spans="1:5">
      <c r="A54" s="10" t="s">
        <v>55</v>
      </c>
      <c r="B54" s="6"/>
      <c r="C54" s="8">
        <f>4600</f>
        <v>4600</v>
      </c>
      <c r="D54" s="8">
        <f t="shared" si="2"/>
        <v>-4600</v>
      </c>
      <c r="E54" s="9">
        <f t="shared" si="3"/>
        <v>0</v>
      </c>
    </row>
    <row r="55" spans="1:5">
      <c r="A55" s="10" t="s">
        <v>56</v>
      </c>
      <c r="B55" s="8">
        <f>4332.57</f>
        <v>4332.57</v>
      </c>
      <c r="C55" s="8"/>
      <c r="D55" s="8">
        <f t="shared" si="2"/>
        <v>4332.57</v>
      </c>
      <c r="E55" s="9" t="str">
        <f t="shared" si="3"/>
        <v/>
      </c>
    </row>
    <row r="56" spans="1:5">
      <c r="A56" s="10" t="s">
        <v>57</v>
      </c>
      <c r="B56" s="11">
        <f>(B54)+B55</f>
        <v>4332.57</v>
      </c>
      <c r="C56" s="11">
        <f>(C54)+C55</f>
        <v>4600</v>
      </c>
      <c r="D56" s="11">
        <f t="shared" si="2"/>
        <v>-267.43000000000029</v>
      </c>
      <c r="E56" s="12">
        <f t="shared" si="3"/>
        <v>0.94186304347826078</v>
      </c>
    </row>
    <row r="57" spans="1:5">
      <c r="A57" s="10" t="s">
        <v>58</v>
      </c>
      <c r="B57" s="6"/>
      <c r="C57" s="8">
        <f>4200</f>
        <v>4200</v>
      </c>
      <c r="D57" s="8">
        <f t="shared" si="2"/>
        <v>-4200</v>
      </c>
      <c r="E57" s="9">
        <f t="shared" si="3"/>
        <v>0</v>
      </c>
    </row>
    <row r="58" spans="1:5">
      <c r="A58" s="10" t="s">
        <v>59</v>
      </c>
      <c r="B58" s="8">
        <f>3019.35</f>
        <v>3019.35</v>
      </c>
      <c r="C58" s="8"/>
      <c r="D58" s="8">
        <f t="shared" si="2"/>
        <v>3019.35</v>
      </c>
      <c r="E58" s="9" t="str">
        <f t="shared" si="3"/>
        <v/>
      </c>
    </row>
    <row r="59" spans="1:5">
      <c r="A59" s="10" t="s">
        <v>60</v>
      </c>
      <c r="B59" s="8">
        <f>312.82</f>
        <v>312.82</v>
      </c>
      <c r="C59" s="8"/>
      <c r="D59" s="8">
        <f t="shared" si="2"/>
        <v>312.82</v>
      </c>
      <c r="E59" s="9" t="str">
        <f t="shared" si="3"/>
        <v/>
      </c>
    </row>
    <row r="60" spans="1:5">
      <c r="A60" s="10" t="s">
        <v>61</v>
      </c>
      <c r="B60" s="8">
        <f>19</f>
        <v>19</v>
      </c>
      <c r="C60" s="8"/>
      <c r="D60" s="8">
        <f t="shared" si="2"/>
        <v>19</v>
      </c>
      <c r="E60" s="9" t="str">
        <f t="shared" si="3"/>
        <v/>
      </c>
    </row>
    <row r="61" spans="1:5">
      <c r="A61" s="10" t="s">
        <v>62</v>
      </c>
      <c r="B61" s="8">
        <f>74.36</f>
        <v>74.36</v>
      </c>
      <c r="C61" s="8"/>
      <c r="D61" s="8">
        <f t="shared" si="2"/>
        <v>74.36</v>
      </c>
      <c r="E61" s="9" t="str">
        <f t="shared" si="3"/>
        <v/>
      </c>
    </row>
    <row r="62" spans="1:5">
      <c r="A62" s="10" t="s">
        <v>63</v>
      </c>
      <c r="B62" s="8">
        <f>12.2</f>
        <v>12.2</v>
      </c>
      <c r="C62" s="8"/>
      <c r="D62" s="8">
        <f t="shared" si="2"/>
        <v>12.2</v>
      </c>
      <c r="E62" s="9" t="str">
        <f t="shared" si="3"/>
        <v/>
      </c>
    </row>
    <row r="63" spans="1:5">
      <c r="A63" s="10" t="s">
        <v>64</v>
      </c>
      <c r="B63" s="11">
        <f>(((((B57)+B58)+B59)+B60)+B61)+B62</f>
        <v>3437.73</v>
      </c>
      <c r="C63" s="11">
        <f>(((((C57)+C58)+C59)+C60)+C61)+C62</f>
        <v>4200</v>
      </c>
      <c r="D63" s="11">
        <f t="shared" si="2"/>
        <v>-762.27</v>
      </c>
      <c r="E63" s="12">
        <f t="shared" si="3"/>
        <v>0.81850714285714288</v>
      </c>
    </row>
    <row r="64" spans="1:5">
      <c r="A64" s="10" t="s">
        <v>65</v>
      </c>
      <c r="B64" s="6"/>
      <c r="C64" s="8">
        <f>4606</f>
        <v>4606</v>
      </c>
      <c r="D64" s="8">
        <f t="shared" si="2"/>
        <v>-4606</v>
      </c>
      <c r="E64" s="9">
        <f t="shared" si="3"/>
        <v>0</v>
      </c>
    </row>
    <row r="65" spans="1:5">
      <c r="A65" s="10" t="s">
        <v>66</v>
      </c>
      <c r="B65" s="8">
        <f>3722.86</f>
        <v>3722.86</v>
      </c>
      <c r="C65" s="8"/>
      <c r="D65" s="8">
        <f t="shared" si="2"/>
        <v>3722.86</v>
      </c>
      <c r="E65" s="9" t="str">
        <f t="shared" si="3"/>
        <v/>
      </c>
    </row>
    <row r="66" spans="1:5">
      <c r="A66" s="10" t="s">
        <v>67</v>
      </c>
      <c r="B66" s="8">
        <f>127.2</f>
        <v>127.2</v>
      </c>
      <c r="C66" s="8"/>
      <c r="D66" s="8">
        <f t="shared" si="2"/>
        <v>127.2</v>
      </c>
      <c r="E66" s="9" t="str">
        <f t="shared" si="3"/>
        <v/>
      </c>
    </row>
    <row r="67" spans="1:5">
      <c r="A67" s="10" t="s">
        <v>68</v>
      </c>
      <c r="B67" s="8">
        <f>79.46</f>
        <v>79.459999999999994</v>
      </c>
      <c r="C67" s="8"/>
      <c r="D67" s="8">
        <f t="shared" si="2"/>
        <v>79.459999999999994</v>
      </c>
      <c r="E67" s="9" t="str">
        <f t="shared" si="3"/>
        <v/>
      </c>
    </row>
    <row r="68" spans="1:5">
      <c r="A68" s="10" t="s">
        <v>69</v>
      </c>
      <c r="B68" s="8">
        <f>402.7</f>
        <v>402.7</v>
      </c>
      <c r="C68" s="8"/>
      <c r="D68" s="8">
        <f t="shared" si="2"/>
        <v>402.7</v>
      </c>
      <c r="E68" s="9" t="str">
        <f t="shared" si="3"/>
        <v/>
      </c>
    </row>
    <row r="69" spans="1:5">
      <c r="A69" s="10" t="s">
        <v>70</v>
      </c>
      <c r="B69" s="8">
        <f>198.1</f>
        <v>198.1</v>
      </c>
      <c r="C69" s="8"/>
      <c r="D69" s="8">
        <f t="shared" si="2"/>
        <v>198.1</v>
      </c>
      <c r="E69" s="9" t="str">
        <f t="shared" si="3"/>
        <v/>
      </c>
    </row>
    <row r="70" spans="1:5">
      <c r="A70" s="10" t="s">
        <v>71</v>
      </c>
      <c r="B70" s="11">
        <f>(((((B64)+B65)+B66)+B67)+B68)+B69</f>
        <v>4530.3200000000006</v>
      </c>
      <c r="C70" s="11">
        <f>(((((C64)+C65)+C66)+C67)+C68)+C69</f>
        <v>4606</v>
      </c>
      <c r="D70" s="11">
        <f t="shared" si="2"/>
        <v>-75.679999999999382</v>
      </c>
      <c r="E70" s="12">
        <f t="shared" si="3"/>
        <v>0.98356925749023028</v>
      </c>
    </row>
    <row r="71" spans="1:5">
      <c r="A71" s="10" t="s">
        <v>72</v>
      </c>
      <c r="B71" s="6"/>
      <c r="C71" s="8">
        <f>6758</f>
        <v>6758</v>
      </c>
      <c r="D71" s="8">
        <f t="shared" ref="D71:D102" si="4">(B71)-C71</f>
        <v>-6758</v>
      </c>
      <c r="E71" s="9">
        <f t="shared" ref="E71:E102" si="5">IF(C71=0,"",(B71)/C71)</f>
        <v>0</v>
      </c>
    </row>
    <row r="72" spans="1:5">
      <c r="A72" s="10" t="s">
        <v>73</v>
      </c>
      <c r="B72" s="8">
        <f>1000</f>
        <v>1000</v>
      </c>
      <c r="C72" s="8"/>
      <c r="D72" s="8">
        <f t="shared" si="4"/>
        <v>1000</v>
      </c>
      <c r="E72" s="9" t="str">
        <f t="shared" si="5"/>
        <v/>
      </c>
    </row>
    <row r="73" spans="1:5">
      <c r="A73" s="10" t="s">
        <v>74</v>
      </c>
      <c r="B73" s="8">
        <f>4911.83</f>
        <v>4911.83</v>
      </c>
      <c r="C73" s="8"/>
      <c r="D73" s="8">
        <f t="shared" si="4"/>
        <v>4911.83</v>
      </c>
      <c r="E73" s="9" t="str">
        <f t="shared" si="5"/>
        <v/>
      </c>
    </row>
    <row r="74" spans="1:5">
      <c r="A74" s="10" t="s">
        <v>75</v>
      </c>
      <c r="B74" s="8">
        <f>68.37</f>
        <v>68.37</v>
      </c>
      <c r="C74" s="8"/>
      <c r="D74" s="8">
        <f t="shared" si="4"/>
        <v>68.37</v>
      </c>
      <c r="E74" s="9" t="str">
        <f t="shared" si="5"/>
        <v/>
      </c>
    </row>
    <row r="75" spans="1:5">
      <c r="A75" s="10" t="s">
        <v>76</v>
      </c>
      <c r="B75" s="8">
        <f>734.69</f>
        <v>734.69</v>
      </c>
      <c r="C75" s="8"/>
      <c r="D75" s="8">
        <f t="shared" si="4"/>
        <v>734.69</v>
      </c>
      <c r="E75" s="9" t="str">
        <f t="shared" si="5"/>
        <v/>
      </c>
    </row>
    <row r="76" spans="1:5">
      <c r="A76" s="10" t="s">
        <v>77</v>
      </c>
      <c r="B76" s="11">
        <f>((((B71)+B72)+B73)+B74)+B75</f>
        <v>6714.8899999999994</v>
      </c>
      <c r="C76" s="11">
        <f>((((C71)+C72)+C73)+C74)+C75</f>
        <v>6758</v>
      </c>
      <c r="D76" s="11">
        <f t="shared" si="4"/>
        <v>-43.110000000000582</v>
      </c>
      <c r="E76" s="12">
        <f t="shared" si="5"/>
        <v>0.99362089375554885</v>
      </c>
    </row>
    <row r="77" spans="1:5">
      <c r="A77" s="10" t="s">
        <v>78</v>
      </c>
      <c r="B77" s="6"/>
      <c r="C77" s="8">
        <f>6000</f>
        <v>6000</v>
      </c>
      <c r="D77" s="8">
        <f t="shared" si="4"/>
        <v>-6000</v>
      </c>
      <c r="E77" s="9">
        <f t="shared" si="5"/>
        <v>0</v>
      </c>
    </row>
    <row r="78" spans="1:5">
      <c r="A78" s="10" t="s">
        <v>79</v>
      </c>
      <c r="B78" s="8">
        <f>3078.56</f>
        <v>3078.56</v>
      </c>
      <c r="C78" s="8"/>
      <c r="D78" s="8">
        <f t="shared" si="4"/>
        <v>3078.56</v>
      </c>
      <c r="E78" s="9" t="str">
        <f t="shared" si="5"/>
        <v/>
      </c>
    </row>
    <row r="79" spans="1:5">
      <c r="A79" s="10" t="s">
        <v>80</v>
      </c>
      <c r="B79" s="8">
        <f>7.7</f>
        <v>7.7</v>
      </c>
      <c r="C79" s="8"/>
      <c r="D79" s="8">
        <f t="shared" si="4"/>
        <v>7.7</v>
      </c>
      <c r="E79" s="9" t="str">
        <f t="shared" si="5"/>
        <v/>
      </c>
    </row>
    <row r="80" spans="1:5">
      <c r="A80" s="10" t="s">
        <v>81</v>
      </c>
      <c r="B80" s="8">
        <f>45.54</f>
        <v>45.54</v>
      </c>
      <c r="C80" s="8"/>
      <c r="D80" s="8">
        <f t="shared" si="4"/>
        <v>45.54</v>
      </c>
      <c r="E80" s="9" t="str">
        <f t="shared" si="5"/>
        <v/>
      </c>
    </row>
    <row r="81" spans="1:5">
      <c r="A81" s="10" t="s">
        <v>82</v>
      </c>
      <c r="B81" s="11">
        <f>(((B77)+B78)+B79)+B80</f>
        <v>3131.7999999999997</v>
      </c>
      <c r="C81" s="11">
        <f>(((C77)+C78)+C79)+C80</f>
        <v>6000</v>
      </c>
      <c r="D81" s="11">
        <f t="shared" si="4"/>
        <v>-2868.2000000000003</v>
      </c>
      <c r="E81" s="12">
        <f t="shared" si="5"/>
        <v>0.52196666666666658</v>
      </c>
    </row>
    <row r="82" spans="1:5">
      <c r="A82" s="10" t="s">
        <v>83</v>
      </c>
      <c r="B82" s="6"/>
      <c r="C82" s="8">
        <f>8200</f>
        <v>8200</v>
      </c>
      <c r="D82" s="8">
        <f t="shared" si="4"/>
        <v>-8200</v>
      </c>
      <c r="E82" s="9">
        <f t="shared" si="5"/>
        <v>0</v>
      </c>
    </row>
    <row r="83" spans="1:5">
      <c r="A83" s="10" t="s">
        <v>84</v>
      </c>
      <c r="B83" s="8">
        <f>554.63</f>
        <v>554.63</v>
      </c>
      <c r="C83" s="8"/>
      <c r="D83" s="8">
        <f t="shared" si="4"/>
        <v>554.63</v>
      </c>
      <c r="E83" s="9" t="str">
        <f t="shared" si="5"/>
        <v/>
      </c>
    </row>
    <row r="84" spans="1:5">
      <c r="A84" s="10" t="s">
        <v>85</v>
      </c>
      <c r="B84" s="8">
        <f>6795</f>
        <v>6795</v>
      </c>
      <c r="C84" s="8"/>
      <c r="D84" s="8">
        <f t="shared" si="4"/>
        <v>6795</v>
      </c>
      <c r="E84" s="9" t="str">
        <f t="shared" si="5"/>
        <v/>
      </c>
    </row>
    <row r="85" spans="1:5">
      <c r="A85" s="10" t="s">
        <v>86</v>
      </c>
      <c r="B85" s="11">
        <f>((B82)+B83)+B84</f>
        <v>7349.63</v>
      </c>
      <c r="C85" s="11">
        <f>((C82)+C83)+C84</f>
        <v>8200</v>
      </c>
      <c r="D85" s="11">
        <f t="shared" si="4"/>
        <v>-850.36999999999989</v>
      </c>
      <c r="E85" s="12">
        <f t="shared" si="5"/>
        <v>0.89629634146341464</v>
      </c>
    </row>
    <row r="86" spans="1:5">
      <c r="A86" s="10" t="s">
        <v>87</v>
      </c>
      <c r="B86" s="6"/>
      <c r="C86" s="8">
        <f>124921</f>
        <v>124921</v>
      </c>
      <c r="D86" s="8">
        <f t="shared" si="4"/>
        <v>-124921</v>
      </c>
      <c r="E86" s="9">
        <f t="shared" si="5"/>
        <v>0</v>
      </c>
    </row>
    <row r="87" spans="1:5">
      <c r="A87" s="10" t="s">
        <v>88</v>
      </c>
      <c r="B87" s="6"/>
      <c r="C87" s="6"/>
      <c r="D87" s="8">
        <f t="shared" si="4"/>
        <v>0</v>
      </c>
      <c r="E87" s="9" t="str">
        <f t="shared" si="5"/>
        <v/>
      </c>
    </row>
    <row r="88" spans="1:5">
      <c r="A88" s="10" t="s">
        <v>89</v>
      </c>
      <c r="B88" s="8">
        <f>15421.19</f>
        <v>15421.19</v>
      </c>
      <c r="C88" s="8"/>
      <c r="D88" s="8">
        <f t="shared" si="4"/>
        <v>15421.19</v>
      </c>
      <c r="E88" s="9" t="str">
        <f t="shared" si="5"/>
        <v/>
      </c>
    </row>
    <row r="89" spans="1:5">
      <c r="A89" s="10" t="s">
        <v>90</v>
      </c>
      <c r="B89" s="8">
        <f>5189.66</f>
        <v>5189.66</v>
      </c>
      <c r="C89" s="8"/>
      <c r="D89" s="8">
        <f t="shared" si="4"/>
        <v>5189.66</v>
      </c>
      <c r="E89" s="9" t="str">
        <f t="shared" si="5"/>
        <v/>
      </c>
    </row>
    <row r="90" spans="1:5">
      <c r="A90" s="10" t="s">
        <v>91</v>
      </c>
      <c r="B90" s="8">
        <f>105.95</f>
        <v>105.95</v>
      </c>
      <c r="C90" s="8"/>
      <c r="D90" s="8">
        <f t="shared" si="4"/>
        <v>105.95</v>
      </c>
      <c r="E90" s="9" t="str">
        <f t="shared" si="5"/>
        <v/>
      </c>
    </row>
    <row r="91" spans="1:5">
      <c r="A91" s="10" t="s">
        <v>92</v>
      </c>
      <c r="B91" s="8">
        <f>11798.22</f>
        <v>11798.22</v>
      </c>
      <c r="C91" s="8"/>
      <c r="D91" s="8">
        <f t="shared" si="4"/>
        <v>11798.22</v>
      </c>
      <c r="E91" s="9" t="str">
        <f t="shared" si="5"/>
        <v/>
      </c>
    </row>
    <row r="92" spans="1:5">
      <c r="A92" s="10" t="s">
        <v>93</v>
      </c>
      <c r="B92" s="8">
        <f>8198</f>
        <v>8198</v>
      </c>
      <c r="C92" s="8"/>
      <c r="D92" s="8">
        <f t="shared" si="4"/>
        <v>8198</v>
      </c>
      <c r="E92" s="9" t="str">
        <f t="shared" si="5"/>
        <v/>
      </c>
    </row>
    <row r="93" spans="1:5">
      <c r="A93" s="10" t="s">
        <v>94</v>
      </c>
      <c r="B93" s="8">
        <f>58427.92</f>
        <v>58427.92</v>
      </c>
      <c r="C93" s="8"/>
      <c r="D93" s="8">
        <f t="shared" si="4"/>
        <v>58427.92</v>
      </c>
      <c r="E93" s="9" t="str">
        <f t="shared" si="5"/>
        <v/>
      </c>
    </row>
    <row r="94" spans="1:5">
      <c r="A94" s="10" t="s">
        <v>95</v>
      </c>
      <c r="B94" s="8">
        <f>2749.53</f>
        <v>2749.53</v>
      </c>
      <c r="C94" s="8"/>
      <c r="D94" s="8">
        <f t="shared" si="4"/>
        <v>2749.53</v>
      </c>
      <c r="E94" s="9" t="str">
        <f t="shared" si="5"/>
        <v/>
      </c>
    </row>
    <row r="95" spans="1:5">
      <c r="A95" s="10" t="s">
        <v>96</v>
      </c>
      <c r="B95" s="11">
        <f>(((((((B87)+B88)+B89)+B90)+B91)+B92)+B93)+B94</f>
        <v>101890.47</v>
      </c>
      <c r="C95" s="11">
        <f>(((((((C87)+C88)+C89)+C90)+C91)+C92)+C93)+C94</f>
        <v>0</v>
      </c>
      <c r="D95" s="11">
        <f t="shared" si="4"/>
        <v>101890.47</v>
      </c>
      <c r="E95" s="12" t="str">
        <f t="shared" si="5"/>
        <v/>
      </c>
    </row>
    <row r="96" spans="1:5">
      <c r="A96" s="10" t="s">
        <v>97</v>
      </c>
      <c r="B96" s="6"/>
      <c r="C96" s="6"/>
      <c r="D96" s="8">
        <f t="shared" si="4"/>
        <v>0</v>
      </c>
      <c r="E96" s="9" t="str">
        <f t="shared" si="5"/>
        <v/>
      </c>
    </row>
    <row r="97" spans="1:5">
      <c r="A97" s="10" t="s">
        <v>98</v>
      </c>
      <c r="B97" s="8">
        <f>2738.48</f>
        <v>2738.48</v>
      </c>
      <c r="C97" s="8"/>
      <c r="D97" s="8">
        <f t="shared" si="4"/>
        <v>2738.48</v>
      </c>
      <c r="E97" s="9" t="str">
        <f t="shared" si="5"/>
        <v/>
      </c>
    </row>
    <row r="98" spans="1:5">
      <c r="A98" s="10" t="s">
        <v>99</v>
      </c>
      <c r="B98" s="8">
        <f>600</f>
        <v>600</v>
      </c>
      <c r="C98" s="8"/>
      <c r="D98" s="8">
        <f t="shared" si="4"/>
        <v>600</v>
      </c>
      <c r="E98" s="9" t="str">
        <f t="shared" si="5"/>
        <v/>
      </c>
    </row>
    <row r="99" spans="1:5">
      <c r="A99" s="10" t="s">
        <v>100</v>
      </c>
      <c r="B99" s="8">
        <f>209.37</f>
        <v>209.37</v>
      </c>
      <c r="C99" s="8"/>
      <c r="D99" s="8">
        <f t="shared" si="4"/>
        <v>209.37</v>
      </c>
      <c r="E99" s="9" t="str">
        <f t="shared" si="5"/>
        <v/>
      </c>
    </row>
    <row r="100" spans="1:5">
      <c r="A100" s="10" t="s">
        <v>101</v>
      </c>
      <c r="B100" s="11">
        <f>(((B96)+B97)+B98)+B99</f>
        <v>3547.85</v>
      </c>
      <c r="C100" s="11">
        <f>(((C96)+C97)+C98)+C99</f>
        <v>0</v>
      </c>
      <c r="D100" s="11">
        <f t="shared" si="4"/>
        <v>3547.85</v>
      </c>
      <c r="E100" s="12" t="str">
        <f t="shared" si="5"/>
        <v/>
      </c>
    </row>
    <row r="101" spans="1:5">
      <c r="A101" s="10" t="s">
        <v>102</v>
      </c>
      <c r="B101" s="11">
        <f>((B86)+B95)+B100</f>
        <v>105438.32</v>
      </c>
      <c r="C101" s="11">
        <f>((C86)+C95)+C100</f>
        <v>124921</v>
      </c>
      <c r="D101" s="11">
        <f t="shared" si="4"/>
        <v>-19482.679999999993</v>
      </c>
      <c r="E101" s="12">
        <f t="shared" si="5"/>
        <v>0.8440399932757503</v>
      </c>
    </row>
    <row r="102" spans="1:5">
      <c r="A102" s="10" t="s">
        <v>103</v>
      </c>
      <c r="B102" s="8">
        <f>27.23</f>
        <v>27.23</v>
      </c>
      <c r="C102" s="8">
        <f>2096</f>
        <v>2096</v>
      </c>
      <c r="D102" s="8">
        <f t="shared" si="4"/>
        <v>-2068.77</v>
      </c>
      <c r="E102" s="9">
        <f t="shared" si="5"/>
        <v>1.2991412213740458E-2</v>
      </c>
    </row>
    <row r="103" spans="1:5">
      <c r="A103" s="10" t="s">
        <v>104</v>
      </c>
      <c r="B103" s="8">
        <f>1687.96</f>
        <v>1687.96</v>
      </c>
      <c r="C103" s="8"/>
      <c r="D103" s="8">
        <f t="shared" ref="D103:D134" si="6">(B103)-C103</f>
        <v>1687.96</v>
      </c>
      <c r="E103" s="9" t="str">
        <f t="shared" ref="E103:E134" si="7">IF(C103=0,"",(B103)/C103)</f>
        <v/>
      </c>
    </row>
    <row r="104" spans="1:5">
      <c r="A104" s="10" t="s">
        <v>105</v>
      </c>
      <c r="B104" s="11">
        <f>(B102)+B103</f>
        <v>1715.19</v>
      </c>
      <c r="C104" s="11">
        <f>(C102)+C103</f>
        <v>2096</v>
      </c>
      <c r="D104" s="11">
        <f t="shared" si="6"/>
        <v>-380.80999999999995</v>
      </c>
      <c r="E104" s="12">
        <f t="shared" si="7"/>
        <v>0.81831583969465649</v>
      </c>
    </row>
    <row r="105" spans="1:5">
      <c r="A105" s="10" t="s">
        <v>106</v>
      </c>
      <c r="B105" s="6"/>
      <c r="C105" s="8">
        <f>3800</f>
        <v>3800</v>
      </c>
      <c r="D105" s="8">
        <f t="shared" si="6"/>
        <v>-3800</v>
      </c>
      <c r="E105" s="9">
        <f t="shared" si="7"/>
        <v>0</v>
      </c>
    </row>
    <row r="106" spans="1:5">
      <c r="A106" s="10" t="s">
        <v>107</v>
      </c>
      <c r="B106" s="8">
        <f>1862.44</f>
        <v>1862.44</v>
      </c>
      <c r="C106" s="8"/>
      <c r="D106" s="8">
        <f t="shared" si="6"/>
        <v>1862.44</v>
      </c>
      <c r="E106" s="9" t="str">
        <f t="shared" si="7"/>
        <v/>
      </c>
    </row>
    <row r="107" spans="1:5">
      <c r="A107" s="10" t="s">
        <v>108</v>
      </c>
      <c r="B107" s="8">
        <f>30.81</f>
        <v>30.81</v>
      </c>
      <c r="C107" s="8"/>
      <c r="D107" s="8">
        <f t="shared" si="6"/>
        <v>30.81</v>
      </c>
      <c r="E107" s="9" t="str">
        <f t="shared" si="7"/>
        <v/>
      </c>
    </row>
    <row r="108" spans="1:5">
      <c r="A108" s="10" t="s">
        <v>109</v>
      </c>
      <c r="B108" s="8">
        <f>1443.27</f>
        <v>1443.27</v>
      </c>
      <c r="C108" s="8"/>
      <c r="D108" s="8">
        <f t="shared" si="6"/>
        <v>1443.27</v>
      </c>
      <c r="E108" s="9" t="str">
        <f t="shared" si="7"/>
        <v/>
      </c>
    </row>
    <row r="109" spans="1:5">
      <c r="A109" s="10" t="s">
        <v>110</v>
      </c>
      <c r="B109" s="11">
        <f>(((B105)+B106)+B107)+B108</f>
        <v>3336.52</v>
      </c>
      <c r="C109" s="11">
        <f>(((C105)+C106)+C107)+C108</f>
        <v>3800</v>
      </c>
      <c r="D109" s="11">
        <f t="shared" si="6"/>
        <v>-463.48</v>
      </c>
      <c r="E109" s="12">
        <f t="shared" si="7"/>
        <v>0.87803157894736839</v>
      </c>
    </row>
    <row r="110" spans="1:5">
      <c r="A110" s="10" t="s">
        <v>111</v>
      </c>
      <c r="B110" s="8">
        <f>76.58</f>
        <v>76.58</v>
      </c>
      <c r="C110" s="8">
        <f>219000</f>
        <v>219000</v>
      </c>
      <c r="D110" s="8">
        <f t="shared" si="6"/>
        <v>-218923.42</v>
      </c>
      <c r="E110" s="9">
        <f t="shared" si="7"/>
        <v>3.4968036529680366E-4</v>
      </c>
    </row>
    <row r="111" spans="1:5">
      <c r="A111" s="10" t="s">
        <v>112</v>
      </c>
      <c r="B111" s="8">
        <f>19133.52</f>
        <v>19133.52</v>
      </c>
      <c r="C111" s="8"/>
      <c r="D111" s="8">
        <f t="shared" si="6"/>
        <v>19133.52</v>
      </c>
      <c r="E111" s="9" t="str">
        <f t="shared" si="7"/>
        <v/>
      </c>
    </row>
    <row r="112" spans="1:5">
      <c r="A112" s="10" t="s">
        <v>113</v>
      </c>
      <c r="B112" s="8">
        <f>8660.06</f>
        <v>8660.06</v>
      </c>
      <c r="C112" s="8"/>
      <c r="D112" s="8">
        <f t="shared" si="6"/>
        <v>8660.06</v>
      </c>
      <c r="E112" s="9" t="str">
        <f t="shared" si="7"/>
        <v/>
      </c>
    </row>
    <row r="113" spans="1:5">
      <c r="A113" s="10" t="s">
        <v>114</v>
      </c>
      <c r="B113" s="8">
        <f>928.59</f>
        <v>928.59</v>
      </c>
      <c r="C113" s="8"/>
      <c r="D113" s="8">
        <f t="shared" si="6"/>
        <v>928.59</v>
      </c>
      <c r="E113" s="9" t="str">
        <f t="shared" si="7"/>
        <v/>
      </c>
    </row>
    <row r="114" spans="1:5">
      <c r="A114" s="10" t="s">
        <v>115</v>
      </c>
      <c r="B114" s="8">
        <f>13336.04</f>
        <v>13336.04</v>
      </c>
      <c r="C114" s="8"/>
      <c r="D114" s="8">
        <f t="shared" si="6"/>
        <v>13336.04</v>
      </c>
      <c r="E114" s="9" t="str">
        <f t="shared" si="7"/>
        <v/>
      </c>
    </row>
    <row r="115" spans="1:5">
      <c r="A115" s="10" t="s">
        <v>116</v>
      </c>
      <c r="B115" s="8">
        <f>14551</f>
        <v>14551</v>
      </c>
      <c r="C115" s="8"/>
      <c r="D115" s="8">
        <f t="shared" si="6"/>
        <v>14551</v>
      </c>
      <c r="E115" s="9" t="str">
        <f t="shared" si="7"/>
        <v/>
      </c>
    </row>
    <row r="116" spans="1:5">
      <c r="A116" s="10" t="s">
        <v>117</v>
      </c>
      <c r="B116" s="8">
        <f>8933.66</f>
        <v>8933.66</v>
      </c>
      <c r="C116" s="8"/>
      <c r="D116" s="8">
        <f t="shared" si="6"/>
        <v>8933.66</v>
      </c>
      <c r="E116" s="9" t="str">
        <f t="shared" si="7"/>
        <v/>
      </c>
    </row>
    <row r="117" spans="1:5">
      <c r="A117" s="10" t="s">
        <v>118</v>
      </c>
      <c r="B117" s="8">
        <f>153173.99</f>
        <v>153173.99</v>
      </c>
      <c r="C117" s="8"/>
      <c r="D117" s="8">
        <f t="shared" si="6"/>
        <v>153173.99</v>
      </c>
      <c r="E117" s="9" t="str">
        <f t="shared" si="7"/>
        <v/>
      </c>
    </row>
    <row r="118" spans="1:5">
      <c r="A118" s="10" t="s">
        <v>119</v>
      </c>
      <c r="B118" s="11">
        <f>(((((((B110)+B111)+B112)+B113)+B114)+B115)+B116)+B117</f>
        <v>218793.44</v>
      </c>
      <c r="C118" s="11">
        <f>(((((((C110)+C111)+C112)+C113)+C114)+C115)+C116)+C117</f>
        <v>219000</v>
      </c>
      <c r="D118" s="11">
        <f t="shared" si="6"/>
        <v>-206.55999999999767</v>
      </c>
      <c r="E118" s="12">
        <f t="shared" si="7"/>
        <v>0.99905680365296801</v>
      </c>
    </row>
    <row r="119" spans="1:5">
      <c r="A119" s="10" t="s">
        <v>120</v>
      </c>
      <c r="B119" s="6"/>
      <c r="C119" s="8">
        <f>1500</f>
        <v>1500</v>
      </c>
      <c r="D119" s="8">
        <f t="shared" si="6"/>
        <v>-1500</v>
      </c>
      <c r="E119" s="9">
        <f t="shared" si="7"/>
        <v>0</v>
      </c>
    </row>
    <row r="120" spans="1:5">
      <c r="A120" s="10" t="s">
        <v>121</v>
      </c>
      <c r="B120" s="8">
        <f>711.91</f>
        <v>711.91</v>
      </c>
      <c r="C120" s="8"/>
      <c r="D120" s="8">
        <f t="shared" si="6"/>
        <v>711.91</v>
      </c>
      <c r="E120" s="9" t="str">
        <f t="shared" si="7"/>
        <v/>
      </c>
    </row>
    <row r="121" spans="1:5">
      <c r="A121" s="10" t="s">
        <v>122</v>
      </c>
      <c r="B121" s="11">
        <f>(B119)+B120</f>
        <v>711.91</v>
      </c>
      <c r="C121" s="11">
        <f>(C119)+C120</f>
        <v>1500</v>
      </c>
      <c r="D121" s="11">
        <f t="shared" si="6"/>
        <v>-788.09</v>
      </c>
      <c r="E121" s="12">
        <f t="shared" si="7"/>
        <v>0.47460666666666662</v>
      </c>
    </row>
    <row r="122" spans="1:5">
      <c r="A122" s="10" t="s">
        <v>123</v>
      </c>
      <c r="B122" s="6"/>
      <c r="C122" s="8">
        <f>6100</f>
        <v>6100</v>
      </c>
      <c r="D122" s="8">
        <f t="shared" si="6"/>
        <v>-6100</v>
      </c>
      <c r="E122" s="9">
        <f t="shared" si="7"/>
        <v>0</v>
      </c>
    </row>
    <row r="123" spans="1:5">
      <c r="A123" s="10" t="s">
        <v>124</v>
      </c>
      <c r="B123" s="8">
        <f>4764.16</f>
        <v>4764.16</v>
      </c>
      <c r="C123" s="8"/>
      <c r="D123" s="8">
        <f t="shared" si="6"/>
        <v>4764.16</v>
      </c>
      <c r="E123" s="9" t="str">
        <f t="shared" si="7"/>
        <v/>
      </c>
    </row>
    <row r="124" spans="1:5">
      <c r="A124" s="10" t="s">
        <v>125</v>
      </c>
      <c r="B124" s="11">
        <f>(B122)+B123</f>
        <v>4764.16</v>
      </c>
      <c r="C124" s="11">
        <f>(C122)+C123</f>
        <v>6100</v>
      </c>
      <c r="D124" s="11">
        <f t="shared" si="6"/>
        <v>-1335.8400000000001</v>
      </c>
      <c r="E124" s="12">
        <f t="shared" si="7"/>
        <v>0.78100983606557373</v>
      </c>
    </row>
    <row r="125" spans="1:5">
      <c r="A125" s="10" t="s">
        <v>126</v>
      </c>
      <c r="B125" s="8">
        <f>0</f>
        <v>0</v>
      </c>
      <c r="C125" s="8">
        <f>42479</f>
        <v>42479</v>
      </c>
      <c r="D125" s="8">
        <f t="shared" si="6"/>
        <v>-42479</v>
      </c>
      <c r="E125" s="9">
        <f t="shared" si="7"/>
        <v>0</v>
      </c>
    </row>
    <row r="126" spans="1:5">
      <c r="A126" s="10" t="s">
        <v>127</v>
      </c>
      <c r="B126" s="8">
        <f>15844.83</f>
        <v>15844.83</v>
      </c>
      <c r="C126" s="8"/>
      <c r="D126" s="8">
        <f t="shared" si="6"/>
        <v>15844.83</v>
      </c>
      <c r="E126" s="9" t="str">
        <f t="shared" si="7"/>
        <v/>
      </c>
    </row>
    <row r="127" spans="1:5">
      <c r="A127" s="10" t="s">
        <v>128</v>
      </c>
      <c r="B127" s="8">
        <f>10962.98</f>
        <v>10962.98</v>
      </c>
      <c r="C127" s="8"/>
      <c r="D127" s="8">
        <f t="shared" si="6"/>
        <v>10962.98</v>
      </c>
      <c r="E127" s="9" t="str">
        <f t="shared" si="7"/>
        <v/>
      </c>
    </row>
    <row r="128" spans="1:5">
      <c r="A128" s="10" t="s">
        <v>129</v>
      </c>
      <c r="B128" s="8">
        <f>6087.32</f>
        <v>6087.32</v>
      </c>
      <c r="C128" s="8"/>
      <c r="D128" s="8">
        <f t="shared" si="6"/>
        <v>6087.32</v>
      </c>
      <c r="E128" s="9" t="str">
        <f t="shared" si="7"/>
        <v/>
      </c>
    </row>
    <row r="129" spans="1:5">
      <c r="A129" s="10" t="s">
        <v>130</v>
      </c>
      <c r="B129" s="8">
        <f>7489.11</f>
        <v>7489.11</v>
      </c>
      <c r="C129" s="8"/>
      <c r="D129" s="8">
        <f t="shared" si="6"/>
        <v>7489.11</v>
      </c>
      <c r="E129" s="9" t="str">
        <f t="shared" si="7"/>
        <v/>
      </c>
    </row>
    <row r="130" spans="1:5">
      <c r="A130" s="10" t="s">
        <v>131</v>
      </c>
      <c r="B130" s="11">
        <f>((((B125)+B126)+B127)+B128)+B129</f>
        <v>40384.239999999998</v>
      </c>
      <c r="C130" s="11">
        <f>((((C125)+C126)+C127)+C128)+C129</f>
        <v>42479</v>
      </c>
      <c r="D130" s="11">
        <f t="shared" si="6"/>
        <v>-2094.760000000002</v>
      </c>
      <c r="E130" s="12">
        <f t="shared" si="7"/>
        <v>0.9506871630688104</v>
      </c>
    </row>
    <row r="131" spans="1:5">
      <c r="A131" s="10" t="s">
        <v>132</v>
      </c>
      <c r="B131" s="8">
        <f>3401.45</f>
        <v>3401.45</v>
      </c>
      <c r="C131" s="8">
        <f>4000</f>
        <v>4000</v>
      </c>
      <c r="D131" s="8">
        <f t="shared" si="6"/>
        <v>-598.55000000000018</v>
      </c>
      <c r="E131" s="9">
        <f t="shared" si="7"/>
        <v>0.85036249999999991</v>
      </c>
    </row>
    <row r="132" spans="1:5">
      <c r="A132" s="10" t="s">
        <v>133</v>
      </c>
      <c r="B132" s="6"/>
      <c r="C132" s="8">
        <f>200</f>
        <v>200</v>
      </c>
      <c r="D132" s="8">
        <f t="shared" si="6"/>
        <v>-200</v>
      </c>
      <c r="E132" s="9">
        <f t="shared" si="7"/>
        <v>0</v>
      </c>
    </row>
    <row r="133" spans="1:5">
      <c r="A133" s="10" t="s">
        <v>134</v>
      </c>
      <c r="B133" s="8">
        <f>139.68</f>
        <v>139.68</v>
      </c>
      <c r="C133" s="8"/>
      <c r="D133" s="8">
        <f t="shared" si="6"/>
        <v>139.68</v>
      </c>
      <c r="E133" s="9" t="str">
        <f t="shared" si="7"/>
        <v/>
      </c>
    </row>
    <row r="134" spans="1:5">
      <c r="A134" s="10" t="s">
        <v>135</v>
      </c>
      <c r="B134" s="11">
        <f>(B132)+B133</f>
        <v>139.68</v>
      </c>
      <c r="C134" s="11">
        <f>(C132)+C133</f>
        <v>200</v>
      </c>
      <c r="D134" s="11">
        <f t="shared" si="6"/>
        <v>-60.319999999999993</v>
      </c>
      <c r="E134" s="12">
        <f t="shared" si="7"/>
        <v>0.69840000000000002</v>
      </c>
    </row>
    <row r="135" spans="1:5">
      <c r="A135" s="10" t="s">
        <v>136</v>
      </c>
      <c r="B135" s="6"/>
      <c r="C135" s="8">
        <f>14180</f>
        <v>14180</v>
      </c>
      <c r="D135" s="8">
        <f t="shared" ref="D135:D166" si="8">(B135)-C135</f>
        <v>-14180</v>
      </c>
      <c r="E135" s="9">
        <f t="shared" ref="E135:E164" si="9">IF(C135=0,"",(B135)/C135)</f>
        <v>0</v>
      </c>
    </row>
    <row r="136" spans="1:5">
      <c r="A136" s="10" t="s">
        <v>137</v>
      </c>
      <c r="B136" s="8">
        <f>5768.28</f>
        <v>5768.28</v>
      </c>
      <c r="C136" s="8"/>
      <c r="D136" s="8">
        <f t="shared" si="8"/>
        <v>5768.28</v>
      </c>
      <c r="E136" s="9" t="str">
        <f t="shared" si="9"/>
        <v/>
      </c>
    </row>
    <row r="137" spans="1:5">
      <c r="A137" s="10" t="s">
        <v>138</v>
      </c>
      <c r="B137" s="8">
        <f>6547.65</f>
        <v>6547.65</v>
      </c>
      <c r="C137" s="8"/>
      <c r="D137" s="8">
        <f t="shared" si="8"/>
        <v>6547.65</v>
      </c>
      <c r="E137" s="9" t="str">
        <f t="shared" si="9"/>
        <v/>
      </c>
    </row>
    <row r="138" spans="1:5">
      <c r="A138" s="10" t="s">
        <v>139</v>
      </c>
      <c r="B138" s="8">
        <f>238.51</f>
        <v>238.51</v>
      </c>
      <c r="C138" s="8"/>
      <c r="D138" s="8">
        <f t="shared" si="8"/>
        <v>238.51</v>
      </c>
      <c r="E138" s="9" t="str">
        <f t="shared" si="9"/>
        <v/>
      </c>
    </row>
    <row r="139" spans="1:5">
      <c r="A139" s="10" t="s">
        <v>140</v>
      </c>
      <c r="B139" s="11">
        <f>(((B135)+B136)+B137)+B138</f>
        <v>12554.44</v>
      </c>
      <c r="C139" s="11">
        <f>(((C135)+C136)+C137)+C138</f>
        <v>14180</v>
      </c>
      <c r="D139" s="11">
        <f t="shared" si="8"/>
        <v>-1625.5599999999995</v>
      </c>
      <c r="E139" s="12">
        <f t="shared" si="9"/>
        <v>0.88536248236953463</v>
      </c>
    </row>
    <row r="140" spans="1:5">
      <c r="A140" s="10" t="s">
        <v>141</v>
      </c>
      <c r="B140" s="8">
        <f>9474.57</f>
        <v>9474.57</v>
      </c>
      <c r="C140" s="8">
        <f>9475</f>
        <v>9475</v>
      </c>
      <c r="D140" s="8">
        <f t="shared" si="8"/>
        <v>-0.43000000000029104</v>
      </c>
      <c r="E140" s="9">
        <f t="shared" si="9"/>
        <v>0.99995461741424796</v>
      </c>
    </row>
    <row r="141" spans="1:5">
      <c r="A141" s="10" t="s">
        <v>142</v>
      </c>
      <c r="B141" s="6"/>
      <c r="C141" s="8">
        <f>4077</f>
        <v>4077</v>
      </c>
      <c r="D141" s="8">
        <f t="shared" si="8"/>
        <v>-4077</v>
      </c>
      <c r="E141" s="9">
        <f t="shared" si="9"/>
        <v>0</v>
      </c>
    </row>
    <row r="142" spans="1:5">
      <c r="A142" s="10" t="s">
        <v>143</v>
      </c>
      <c r="B142" s="8">
        <f>2084.92</f>
        <v>2084.92</v>
      </c>
      <c r="C142" s="8"/>
      <c r="D142" s="8">
        <f t="shared" si="8"/>
        <v>2084.92</v>
      </c>
      <c r="E142" s="9" t="str">
        <f t="shared" si="9"/>
        <v/>
      </c>
    </row>
    <row r="143" spans="1:5">
      <c r="A143" s="10" t="s">
        <v>144</v>
      </c>
      <c r="B143" s="8">
        <f>130.64</f>
        <v>130.63999999999999</v>
      </c>
      <c r="C143" s="8"/>
      <c r="D143" s="8">
        <f t="shared" si="8"/>
        <v>130.63999999999999</v>
      </c>
      <c r="E143" s="9" t="str">
        <f t="shared" si="9"/>
        <v/>
      </c>
    </row>
    <row r="144" spans="1:5">
      <c r="A144" s="10" t="s">
        <v>145</v>
      </c>
      <c r="B144" s="11">
        <f>((B141)+B142)+B143</f>
        <v>2215.56</v>
      </c>
      <c r="C144" s="11">
        <f>((C141)+C142)+C143</f>
        <v>4077</v>
      </c>
      <c r="D144" s="11">
        <f t="shared" si="8"/>
        <v>-1861.44</v>
      </c>
      <c r="E144" s="12">
        <f t="shared" si="9"/>
        <v>0.54342899190581306</v>
      </c>
    </row>
    <row r="145" spans="1:5">
      <c r="A145" s="10" t="s">
        <v>146</v>
      </c>
      <c r="B145" s="6"/>
      <c r="C145" s="8">
        <f>4600</f>
        <v>4600</v>
      </c>
      <c r="D145" s="8">
        <f t="shared" si="8"/>
        <v>-4600</v>
      </c>
      <c r="E145" s="9">
        <f t="shared" si="9"/>
        <v>0</v>
      </c>
    </row>
    <row r="146" spans="1:5">
      <c r="A146" s="10" t="s">
        <v>147</v>
      </c>
      <c r="B146" s="8">
        <f>2604.2</f>
        <v>2604.1999999999998</v>
      </c>
      <c r="C146" s="8"/>
      <c r="D146" s="8">
        <f t="shared" si="8"/>
        <v>2604.1999999999998</v>
      </c>
      <c r="E146" s="9" t="str">
        <f t="shared" si="9"/>
        <v/>
      </c>
    </row>
    <row r="147" spans="1:5">
      <c r="A147" s="10" t="s">
        <v>148</v>
      </c>
      <c r="B147" s="8">
        <f>62.22</f>
        <v>62.22</v>
      </c>
      <c r="C147" s="8"/>
      <c r="D147" s="8">
        <f t="shared" si="8"/>
        <v>62.22</v>
      </c>
      <c r="E147" s="9" t="str">
        <f t="shared" si="9"/>
        <v/>
      </c>
    </row>
    <row r="148" spans="1:5">
      <c r="A148" s="10" t="s">
        <v>149</v>
      </c>
      <c r="B148" s="11">
        <f>((B145)+B146)+B147</f>
        <v>2666.4199999999996</v>
      </c>
      <c r="C148" s="11">
        <f>((C145)+C146)+C147</f>
        <v>4600</v>
      </c>
      <c r="D148" s="11">
        <f t="shared" si="8"/>
        <v>-1933.5800000000004</v>
      </c>
      <c r="E148" s="12">
        <f t="shared" si="9"/>
        <v>0.5796565217391304</v>
      </c>
    </row>
    <row r="149" spans="1:5">
      <c r="A149" s="10" t="s">
        <v>150</v>
      </c>
      <c r="B149" s="6"/>
      <c r="C149" s="8">
        <f>4600</f>
        <v>4600</v>
      </c>
      <c r="D149" s="8">
        <f t="shared" si="8"/>
        <v>-4600</v>
      </c>
      <c r="E149" s="9">
        <f t="shared" si="9"/>
        <v>0</v>
      </c>
    </row>
    <row r="150" spans="1:5">
      <c r="A150" s="10" t="s">
        <v>151</v>
      </c>
      <c r="B150" s="8">
        <f>4491.42</f>
        <v>4491.42</v>
      </c>
      <c r="C150" s="8"/>
      <c r="D150" s="8">
        <f t="shared" si="8"/>
        <v>4491.42</v>
      </c>
      <c r="E150" s="9" t="str">
        <f t="shared" si="9"/>
        <v/>
      </c>
    </row>
    <row r="151" spans="1:5">
      <c r="A151" s="10" t="s">
        <v>152</v>
      </c>
      <c r="B151" s="11">
        <f>(B149)+B150</f>
        <v>4491.42</v>
      </c>
      <c r="C151" s="11">
        <f>(C149)+C150</f>
        <v>4600</v>
      </c>
      <c r="D151" s="11">
        <f t="shared" si="8"/>
        <v>-108.57999999999993</v>
      </c>
      <c r="E151" s="12">
        <f t="shared" si="9"/>
        <v>0.97639565217391311</v>
      </c>
    </row>
    <row r="152" spans="1:5">
      <c r="A152" s="10" t="s">
        <v>153</v>
      </c>
      <c r="B152" s="6"/>
      <c r="C152" s="8">
        <f>34680</f>
        <v>34680</v>
      </c>
      <c r="D152" s="8">
        <f t="shared" si="8"/>
        <v>-34680</v>
      </c>
      <c r="E152" s="9">
        <f t="shared" si="9"/>
        <v>0</v>
      </c>
    </row>
    <row r="153" spans="1:5">
      <c r="A153" s="10" t="s">
        <v>154</v>
      </c>
      <c r="B153" s="8">
        <f>10931.67</f>
        <v>10931.67</v>
      </c>
      <c r="C153" s="8"/>
      <c r="D153" s="8">
        <f t="shared" si="8"/>
        <v>10931.67</v>
      </c>
      <c r="E153" s="9" t="str">
        <f t="shared" si="9"/>
        <v/>
      </c>
    </row>
    <row r="154" spans="1:5">
      <c r="A154" s="10" t="s">
        <v>155</v>
      </c>
      <c r="B154" s="8">
        <f>23074.53</f>
        <v>23074.53</v>
      </c>
      <c r="C154" s="8"/>
      <c r="D154" s="8">
        <f t="shared" si="8"/>
        <v>23074.53</v>
      </c>
      <c r="E154" s="9" t="str">
        <f t="shared" si="9"/>
        <v/>
      </c>
    </row>
    <row r="155" spans="1:5">
      <c r="A155" s="10" t="s">
        <v>156</v>
      </c>
      <c r="B155" s="11">
        <f>((B152)+B153)+B154</f>
        <v>34006.199999999997</v>
      </c>
      <c r="C155" s="11">
        <f>((C152)+C153)+C154</f>
        <v>34680</v>
      </c>
      <c r="D155" s="11">
        <f t="shared" si="8"/>
        <v>-673.80000000000291</v>
      </c>
      <c r="E155" s="12">
        <f t="shared" si="9"/>
        <v>0.98057093425605524</v>
      </c>
    </row>
    <row r="156" spans="1:5">
      <c r="A156" s="10" t="s">
        <v>157</v>
      </c>
      <c r="B156" s="8">
        <f>710.8</f>
        <v>710.8</v>
      </c>
      <c r="C156" s="8">
        <f>2500</f>
        <v>2500</v>
      </c>
      <c r="D156" s="8">
        <f t="shared" si="8"/>
        <v>-1789.2</v>
      </c>
      <c r="E156" s="9">
        <f t="shared" si="9"/>
        <v>0.28431999999999996</v>
      </c>
    </row>
    <row r="157" spans="1:5">
      <c r="A157" s="10" t="s">
        <v>158</v>
      </c>
      <c r="B157" s="8">
        <f>0</f>
        <v>0</v>
      </c>
      <c r="C157" s="8"/>
      <c r="D157" s="8">
        <f t="shared" si="8"/>
        <v>0</v>
      </c>
      <c r="E157" s="9" t="str">
        <f t="shared" si="9"/>
        <v/>
      </c>
    </row>
    <row r="158" spans="1:5">
      <c r="A158" s="10" t="s">
        <v>159</v>
      </c>
      <c r="B158" s="8">
        <f>610.03</f>
        <v>610.03</v>
      </c>
      <c r="C158" s="8">
        <f>5250</f>
        <v>5250</v>
      </c>
      <c r="D158" s="8">
        <f t="shared" si="8"/>
        <v>-4639.97</v>
      </c>
      <c r="E158" s="9">
        <f t="shared" si="9"/>
        <v>0.11619619047619047</v>
      </c>
    </row>
    <row r="159" spans="1:5">
      <c r="A159" s="10" t="s">
        <v>160</v>
      </c>
      <c r="B159" s="8">
        <f>4439.96</f>
        <v>4439.96</v>
      </c>
      <c r="C159" s="8"/>
      <c r="D159" s="8">
        <f t="shared" si="8"/>
        <v>4439.96</v>
      </c>
      <c r="E159" s="9" t="str">
        <f t="shared" si="9"/>
        <v/>
      </c>
    </row>
    <row r="160" spans="1:5">
      <c r="A160" s="10" t="s">
        <v>161</v>
      </c>
      <c r="B160" s="11">
        <f>(B158)+B159</f>
        <v>5049.99</v>
      </c>
      <c r="C160" s="11">
        <f>(C158)+C159</f>
        <v>5250</v>
      </c>
      <c r="D160" s="11">
        <f t="shared" si="8"/>
        <v>-200.01000000000022</v>
      </c>
      <c r="E160" s="12">
        <f t="shared" si="9"/>
        <v>0.96190285714285706</v>
      </c>
    </row>
    <row r="161" spans="1:5">
      <c r="A161" s="10" t="s">
        <v>162</v>
      </c>
      <c r="B161" s="8">
        <f>18107.87</f>
        <v>18107.87</v>
      </c>
      <c r="C161" s="8">
        <f>18108</f>
        <v>18108</v>
      </c>
      <c r="D161" s="8">
        <f t="shared" si="8"/>
        <v>-0.13000000000101863</v>
      </c>
      <c r="E161" s="9">
        <f t="shared" si="9"/>
        <v>0.99999282085266172</v>
      </c>
    </row>
    <row r="162" spans="1:5">
      <c r="A162" s="10" t="s">
        <v>163</v>
      </c>
      <c r="B162" s="11">
        <f>((((((((((((((((((((((((((B44)+B53)+B56)+B63)+B70)+B76)+B81)+B85)+B101)+B104)+B109)+B118)+B121)+B124)+B130)+B131)+B134)+B139)+B140)+B144)+B148)+B151)+B155)+B156)+B157)+B160)+B161</f>
        <v>514837.56999999989</v>
      </c>
      <c r="C162" s="11">
        <f>((((((((((((((((((((((((((C44)+C53)+C56)+C63)+C70)+C76)+C81)+C85)+C101)+C104)+C109)+C118)+C121)+C124)+C130)+C131)+C134)+C139)+C140)+C144)+C148)+C151)+C155)+C156)+C157)+C160)+C161</f>
        <v>553450</v>
      </c>
      <c r="D162" s="11">
        <f t="shared" si="8"/>
        <v>-38612.430000000109</v>
      </c>
      <c r="E162" s="12">
        <f t="shared" si="9"/>
        <v>0.9302332098653896</v>
      </c>
    </row>
    <row r="163" spans="1:5">
      <c r="A163" s="10" t="s">
        <v>164</v>
      </c>
      <c r="B163" s="11">
        <f>(B37)-B162</f>
        <v>13157.410000000091</v>
      </c>
      <c r="C163" s="11">
        <f>(C37)-C162</f>
        <v>0</v>
      </c>
      <c r="D163" s="11">
        <f t="shared" si="8"/>
        <v>13157.410000000091</v>
      </c>
      <c r="E163" s="12" t="str">
        <f t="shared" si="9"/>
        <v/>
      </c>
    </row>
    <row r="164" spans="1:5">
      <c r="A164" s="10" t="s">
        <v>165</v>
      </c>
      <c r="B164" s="13">
        <f>(B163)+0</f>
        <v>13157.410000000091</v>
      </c>
      <c r="C164" s="13">
        <f>(C163)+0</f>
        <v>0</v>
      </c>
      <c r="D164" s="13">
        <f t="shared" si="8"/>
        <v>13157.410000000091</v>
      </c>
      <c r="E164" s="14" t="str">
        <f t="shared" si="9"/>
        <v/>
      </c>
    </row>
    <row r="165" spans="1:5">
      <c r="A165" s="10"/>
      <c r="B165" s="6"/>
      <c r="C165" s="6"/>
      <c r="D165" s="6"/>
      <c r="E165" s="6"/>
    </row>
    <row r="168" spans="1:5">
      <c r="A168" s="15" t="s">
        <v>166</v>
      </c>
      <c r="B168" s="15"/>
      <c r="C168" s="15"/>
      <c r="D168" s="15"/>
      <c r="E168" s="15"/>
    </row>
  </sheetData>
  <mergeCells count="805">
    <mergeCell ref="A1:E1"/>
    <mergeCell ref="A2:E2"/>
    <mergeCell ref="A3:E3"/>
    <mergeCell ref="A165"/>
    <mergeCell ref="B165"/>
    <mergeCell ref="C165"/>
    <mergeCell ref="D165"/>
    <mergeCell ref="E165"/>
    <mergeCell ref="A168:E168"/>
    <mergeCell ref="A163"/>
    <mergeCell ref="B163"/>
    <mergeCell ref="C163"/>
    <mergeCell ref="D163"/>
    <mergeCell ref="E163"/>
    <mergeCell ref="A164"/>
    <mergeCell ref="B164"/>
    <mergeCell ref="C164"/>
    <mergeCell ref="D164"/>
    <mergeCell ref="E164"/>
    <mergeCell ref="A161"/>
    <mergeCell ref="B161"/>
    <mergeCell ref="C161"/>
    <mergeCell ref="D161"/>
    <mergeCell ref="E161"/>
    <mergeCell ref="A162"/>
    <mergeCell ref="B162"/>
    <mergeCell ref="C162"/>
    <mergeCell ref="D162"/>
    <mergeCell ref="E162"/>
    <mergeCell ref="A159"/>
    <mergeCell ref="B159"/>
    <mergeCell ref="C159"/>
    <mergeCell ref="D159"/>
    <mergeCell ref="E159"/>
    <mergeCell ref="A160"/>
    <mergeCell ref="B160"/>
    <mergeCell ref="C160"/>
    <mergeCell ref="D160"/>
    <mergeCell ref="E160"/>
    <mergeCell ref="A157"/>
    <mergeCell ref="B157"/>
    <mergeCell ref="C157"/>
    <mergeCell ref="D157"/>
    <mergeCell ref="E157"/>
    <mergeCell ref="A158"/>
    <mergeCell ref="B158"/>
    <mergeCell ref="C158"/>
    <mergeCell ref="D158"/>
    <mergeCell ref="E158"/>
    <mergeCell ref="A155"/>
    <mergeCell ref="B155"/>
    <mergeCell ref="C155"/>
    <mergeCell ref="D155"/>
    <mergeCell ref="E155"/>
    <mergeCell ref="A156"/>
    <mergeCell ref="B156"/>
    <mergeCell ref="C156"/>
    <mergeCell ref="D156"/>
    <mergeCell ref="E156"/>
    <mergeCell ref="A153"/>
    <mergeCell ref="B153"/>
    <mergeCell ref="C153"/>
    <mergeCell ref="D153"/>
    <mergeCell ref="E153"/>
    <mergeCell ref="A154"/>
    <mergeCell ref="B154"/>
    <mergeCell ref="C154"/>
    <mergeCell ref="D154"/>
    <mergeCell ref="E154"/>
    <mergeCell ref="A151"/>
    <mergeCell ref="B151"/>
    <mergeCell ref="C151"/>
    <mergeCell ref="D151"/>
    <mergeCell ref="E151"/>
    <mergeCell ref="A152"/>
    <mergeCell ref="B152"/>
    <mergeCell ref="C152"/>
    <mergeCell ref="D152"/>
    <mergeCell ref="E152"/>
    <mergeCell ref="A149"/>
    <mergeCell ref="B149"/>
    <mergeCell ref="C149"/>
    <mergeCell ref="D149"/>
    <mergeCell ref="E149"/>
    <mergeCell ref="A150"/>
    <mergeCell ref="B150"/>
    <mergeCell ref="C150"/>
    <mergeCell ref="D150"/>
    <mergeCell ref="E150"/>
    <mergeCell ref="A147"/>
    <mergeCell ref="B147"/>
    <mergeCell ref="C147"/>
    <mergeCell ref="D147"/>
    <mergeCell ref="E147"/>
    <mergeCell ref="A148"/>
    <mergeCell ref="B148"/>
    <mergeCell ref="C148"/>
    <mergeCell ref="D148"/>
    <mergeCell ref="E148"/>
    <mergeCell ref="A145"/>
    <mergeCell ref="B145"/>
    <mergeCell ref="C145"/>
    <mergeCell ref="D145"/>
    <mergeCell ref="E145"/>
    <mergeCell ref="A146"/>
    <mergeCell ref="B146"/>
    <mergeCell ref="C146"/>
    <mergeCell ref="D146"/>
    <mergeCell ref="E146"/>
    <mergeCell ref="A143"/>
    <mergeCell ref="B143"/>
    <mergeCell ref="C143"/>
    <mergeCell ref="D143"/>
    <mergeCell ref="E143"/>
    <mergeCell ref="A144"/>
    <mergeCell ref="B144"/>
    <mergeCell ref="C144"/>
    <mergeCell ref="D144"/>
    <mergeCell ref="E144"/>
    <mergeCell ref="A141"/>
    <mergeCell ref="B141"/>
    <mergeCell ref="C141"/>
    <mergeCell ref="D141"/>
    <mergeCell ref="E141"/>
    <mergeCell ref="A142"/>
    <mergeCell ref="B142"/>
    <mergeCell ref="C142"/>
    <mergeCell ref="D142"/>
    <mergeCell ref="E142"/>
    <mergeCell ref="A139"/>
    <mergeCell ref="B139"/>
    <mergeCell ref="C139"/>
    <mergeCell ref="D139"/>
    <mergeCell ref="E139"/>
    <mergeCell ref="A140"/>
    <mergeCell ref="B140"/>
    <mergeCell ref="C140"/>
    <mergeCell ref="D140"/>
    <mergeCell ref="E140"/>
    <mergeCell ref="A137"/>
    <mergeCell ref="B137"/>
    <mergeCell ref="C137"/>
    <mergeCell ref="D137"/>
    <mergeCell ref="E137"/>
    <mergeCell ref="A138"/>
    <mergeCell ref="B138"/>
    <mergeCell ref="C138"/>
    <mergeCell ref="D138"/>
    <mergeCell ref="E138"/>
    <mergeCell ref="A135"/>
    <mergeCell ref="B135"/>
    <mergeCell ref="C135"/>
    <mergeCell ref="D135"/>
    <mergeCell ref="E135"/>
    <mergeCell ref="A136"/>
    <mergeCell ref="B136"/>
    <mergeCell ref="C136"/>
    <mergeCell ref="D136"/>
    <mergeCell ref="E136"/>
    <mergeCell ref="A133"/>
    <mergeCell ref="B133"/>
    <mergeCell ref="C133"/>
    <mergeCell ref="D133"/>
    <mergeCell ref="E133"/>
    <mergeCell ref="A134"/>
    <mergeCell ref="B134"/>
    <mergeCell ref="C134"/>
    <mergeCell ref="D134"/>
    <mergeCell ref="E134"/>
    <mergeCell ref="A131"/>
    <mergeCell ref="B131"/>
    <mergeCell ref="C131"/>
    <mergeCell ref="D131"/>
    <mergeCell ref="E131"/>
    <mergeCell ref="A132"/>
    <mergeCell ref="B132"/>
    <mergeCell ref="C132"/>
    <mergeCell ref="D132"/>
    <mergeCell ref="E132"/>
    <mergeCell ref="A129"/>
    <mergeCell ref="B129"/>
    <mergeCell ref="C129"/>
    <mergeCell ref="D129"/>
    <mergeCell ref="E129"/>
    <mergeCell ref="A130"/>
    <mergeCell ref="B130"/>
    <mergeCell ref="C130"/>
    <mergeCell ref="D130"/>
    <mergeCell ref="E130"/>
    <mergeCell ref="A127"/>
    <mergeCell ref="B127"/>
    <mergeCell ref="C127"/>
    <mergeCell ref="D127"/>
    <mergeCell ref="E127"/>
    <mergeCell ref="A128"/>
    <mergeCell ref="B128"/>
    <mergeCell ref="C128"/>
    <mergeCell ref="D128"/>
    <mergeCell ref="E128"/>
    <mergeCell ref="A125"/>
    <mergeCell ref="B125"/>
    <mergeCell ref="C125"/>
    <mergeCell ref="D125"/>
    <mergeCell ref="E125"/>
    <mergeCell ref="A126"/>
    <mergeCell ref="B126"/>
    <mergeCell ref="C126"/>
    <mergeCell ref="D126"/>
    <mergeCell ref="E126"/>
    <mergeCell ref="A123"/>
    <mergeCell ref="B123"/>
    <mergeCell ref="C123"/>
    <mergeCell ref="D123"/>
    <mergeCell ref="E123"/>
    <mergeCell ref="A124"/>
    <mergeCell ref="B124"/>
    <mergeCell ref="C124"/>
    <mergeCell ref="D124"/>
    <mergeCell ref="E124"/>
    <mergeCell ref="A121"/>
    <mergeCell ref="B121"/>
    <mergeCell ref="C121"/>
    <mergeCell ref="D121"/>
    <mergeCell ref="E121"/>
    <mergeCell ref="A122"/>
    <mergeCell ref="B122"/>
    <mergeCell ref="C122"/>
    <mergeCell ref="D122"/>
    <mergeCell ref="E122"/>
    <mergeCell ref="A119"/>
    <mergeCell ref="B119"/>
    <mergeCell ref="C119"/>
    <mergeCell ref="D119"/>
    <mergeCell ref="E119"/>
    <mergeCell ref="A120"/>
    <mergeCell ref="B120"/>
    <mergeCell ref="C120"/>
    <mergeCell ref="D120"/>
    <mergeCell ref="E120"/>
    <mergeCell ref="A117"/>
    <mergeCell ref="B117"/>
    <mergeCell ref="C117"/>
    <mergeCell ref="D117"/>
    <mergeCell ref="E117"/>
    <mergeCell ref="A118"/>
    <mergeCell ref="B118"/>
    <mergeCell ref="C118"/>
    <mergeCell ref="D118"/>
    <mergeCell ref="E118"/>
    <mergeCell ref="A115"/>
    <mergeCell ref="B115"/>
    <mergeCell ref="C115"/>
    <mergeCell ref="D115"/>
    <mergeCell ref="E115"/>
    <mergeCell ref="A116"/>
    <mergeCell ref="B116"/>
    <mergeCell ref="C116"/>
    <mergeCell ref="D116"/>
    <mergeCell ref="E116"/>
    <mergeCell ref="A113"/>
    <mergeCell ref="B113"/>
    <mergeCell ref="C113"/>
    <mergeCell ref="D113"/>
    <mergeCell ref="E113"/>
    <mergeCell ref="A114"/>
    <mergeCell ref="B114"/>
    <mergeCell ref="C114"/>
    <mergeCell ref="D114"/>
    <mergeCell ref="E114"/>
    <mergeCell ref="A111"/>
    <mergeCell ref="B111"/>
    <mergeCell ref="C111"/>
    <mergeCell ref="D111"/>
    <mergeCell ref="E111"/>
    <mergeCell ref="A112"/>
    <mergeCell ref="B112"/>
    <mergeCell ref="C112"/>
    <mergeCell ref="D112"/>
    <mergeCell ref="E112"/>
    <mergeCell ref="A109"/>
    <mergeCell ref="B109"/>
    <mergeCell ref="C109"/>
    <mergeCell ref="D109"/>
    <mergeCell ref="E109"/>
    <mergeCell ref="A110"/>
    <mergeCell ref="B110"/>
    <mergeCell ref="C110"/>
    <mergeCell ref="D110"/>
    <mergeCell ref="E110"/>
    <mergeCell ref="A107"/>
    <mergeCell ref="B107"/>
    <mergeCell ref="C107"/>
    <mergeCell ref="D107"/>
    <mergeCell ref="E107"/>
    <mergeCell ref="A108"/>
    <mergeCell ref="B108"/>
    <mergeCell ref="C108"/>
    <mergeCell ref="D108"/>
    <mergeCell ref="E108"/>
    <mergeCell ref="A105"/>
    <mergeCell ref="B105"/>
    <mergeCell ref="C105"/>
    <mergeCell ref="D105"/>
    <mergeCell ref="E105"/>
    <mergeCell ref="A106"/>
    <mergeCell ref="B106"/>
    <mergeCell ref="C106"/>
    <mergeCell ref="D106"/>
    <mergeCell ref="E106"/>
    <mergeCell ref="A103"/>
    <mergeCell ref="B103"/>
    <mergeCell ref="C103"/>
    <mergeCell ref="D103"/>
    <mergeCell ref="E103"/>
    <mergeCell ref="A104"/>
    <mergeCell ref="B104"/>
    <mergeCell ref="C104"/>
    <mergeCell ref="D104"/>
    <mergeCell ref="E104"/>
    <mergeCell ref="A101"/>
    <mergeCell ref="B101"/>
    <mergeCell ref="C101"/>
    <mergeCell ref="D101"/>
    <mergeCell ref="E101"/>
    <mergeCell ref="A102"/>
    <mergeCell ref="B102"/>
    <mergeCell ref="C102"/>
    <mergeCell ref="D102"/>
    <mergeCell ref="E102"/>
    <mergeCell ref="A99"/>
    <mergeCell ref="B99"/>
    <mergeCell ref="C99"/>
    <mergeCell ref="D99"/>
    <mergeCell ref="E99"/>
    <mergeCell ref="A100"/>
    <mergeCell ref="B100"/>
    <mergeCell ref="C100"/>
    <mergeCell ref="D100"/>
    <mergeCell ref="E100"/>
    <mergeCell ref="A97"/>
    <mergeCell ref="B97"/>
    <mergeCell ref="C97"/>
    <mergeCell ref="D97"/>
    <mergeCell ref="E97"/>
    <mergeCell ref="A98"/>
    <mergeCell ref="B98"/>
    <mergeCell ref="C98"/>
    <mergeCell ref="D98"/>
    <mergeCell ref="E98"/>
    <mergeCell ref="A95"/>
    <mergeCell ref="B95"/>
    <mergeCell ref="C95"/>
    <mergeCell ref="D95"/>
    <mergeCell ref="E95"/>
    <mergeCell ref="A96"/>
    <mergeCell ref="B96"/>
    <mergeCell ref="C96"/>
    <mergeCell ref="D96"/>
    <mergeCell ref="E96"/>
    <mergeCell ref="A93"/>
    <mergeCell ref="B93"/>
    <mergeCell ref="C93"/>
    <mergeCell ref="D93"/>
    <mergeCell ref="E93"/>
    <mergeCell ref="A94"/>
    <mergeCell ref="B94"/>
    <mergeCell ref="C94"/>
    <mergeCell ref="D94"/>
    <mergeCell ref="E94"/>
    <mergeCell ref="A91"/>
    <mergeCell ref="B91"/>
    <mergeCell ref="C91"/>
    <mergeCell ref="D91"/>
    <mergeCell ref="E91"/>
    <mergeCell ref="A92"/>
    <mergeCell ref="B92"/>
    <mergeCell ref="C92"/>
    <mergeCell ref="D92"/>
    <mergeCell ref="E92"/>
    <mergeCell ref="A89"/>
    <mergeCell ref="B89"/>
    <mergeCell ref="C89"/>
    <mergeCell ref="D89"/>
    <mergeCell ref="E89"/>
    <mergeCell ref="A90"/>
    <mergeCell ref="B90"/>
    <mergeCell ref="C90"/>
    <mergeCell ref="D90"/>
    <mergeCell ref="E90"/>
    <mergeCell ref="A87"/>
    <mergeCell ref="B87"/>
    <mergeCell ref="C87"/>
    <mergeCell ref="D87"/>
    <mergeCell ref="E87"/>
    <mergeCell ref="A88"/>
    <mergeCell ref="B88"/>
    <mergeCell ref="C88"/>
    <mergeCell ref="D88"/>
    <mergeCell ref="E88"/>
    <mergeCell ref="A85"/>
    <mergeCell ref="B85"/>
    <mergeCell ref="C85"/>
    <mergeCell ref="D85"/>
    <mergeCell ref="E85"/>
    <mergeCell ref="A86"/>
    <mergeCell ref="B86"/>
    <mergeCell ref="C86"/>
    <mergeCell ref="D86"/>
    <mergeCell ref="E86"/>
    <mergeCell ref="A83"/>
    <mergeCell ref="B83"/>
    <mergeCell ref="C83"/>
    <mergeCell ref="D83"/>
    <mergeCell ref="E83"/>
    <mergeCell ref="A84"/>
    <mergeCell ref="B84"/>
    <mergeCell ref="C84"/>
    <mergeCell ref="D84"/>
    <mergeCell ref="E84"/>
    <mergeCell ref="A81"/>
    <mergeCell ref="B81"/>
    <mergeCell ref="C81"/>
    <mergeCell ref="D81"/>
    <mergeCell ref="E81"/>
    <mergeCell ref="A82"/>
    <mergeCell ref="B82"/>
    <mergeCell ref="C82"/>
    <mergeCell ref="D82"/>
    <mergeCell ref="E82"/>
    <mergeCell ref="A79"/>
    <mergeCell ref="B79"/>
    <mergeCell ref="C79"/>
    <mergeCell ref="D79"/>
    <mergeCell ref="E79"/>
    <mergeCell ref="A80"/>
    <mergeCell ref="B80"/>
    <mergeCell ref="C80"/>
    <mergeCell ref="D80"/>
    <mergeCell ref="E80"/>
    <mergeCell ref="A77"/>
    <mergeCell ref="B77"/>
    <mergeCell ref="C77"/>
    <mergeCell ref="D77"/>
    <mergeCell ref="E77"/>
    <mergeCell ref="A78"/>
    <mergeCell ref="B78"/>
    <mergeCell ref="C78"/>
    <mergeCell ref="D78"/>
    <mergeCell ref="E78"/>
    <mergeCell ref="A75"/>
    <mergeCell ref="B75"/>
    <mergeCell ref="C75"/>
    <mergeCell ref="D75"/>
    <mergeCell ref="E75"/>
    <mergeCell ref="A76"/>
    <mergeCell ref="B76"/>
    <mergeCell ref="C76"/>
    <mergeCell ref="D76"/>
    <mergeCell ref="E76"/>
    <mergeCell ref="A73"/>
    <mergeCell ref="B73"/>
    <mergeCell ref="C73"/>
    <mergeCell ref="D73"/>
    <mergeCell ref="E73"/>
    <mergeCell ref="A74"/>
    <mergeCell ref="B74"/>
    <mergeCell ref="C74"/>
    <mergeCell ref="D74"/>
    <mergeCell ref="E74"/>
    <mergeCell ref="A71"/>
    <mergeCell ref="B71"/>
    <mergeCell ref="C71"/>
    <mergeCell ref="D71"/>
    <mergeCell ref="E71"/>
    <mergeCell ref="A72"/>
    <mergeCell ref="B72"/>
    <mergeCell ref="C72"/>
    <mergeCell ref="D72"/>
    <mergeCell ref="E72"/>
    <mergeCell ref="A69"/>
    <mergeCell ref="B69"/>
    <mergeCell ref="C69"/>
    <mergeCell ref="D69"/>
    <mergeCell ref="E69"/>
    <mergeCell ref="A70"/>
    <mergeCell ref="B70"/>
    <mergeCell ref="C70"/>
    <mergeCell ref="D70"/>
    <mergeCell ref="E70"/>
    <mergeCell ref="A67"/>
    <mergeCell ref="B67"/>
    <mergeCell ref="C67"/>
    <mergeCell ref="D67"/>
    <mergeCell ref="E67"/>
    <mergeCell ref="A68"/>
    <mergeCell ref="B68"/>
    <mergeCell ref="C68"/>
    <mergeCell ref="D68"/>
    <mergeCell ref="E68"/>
    <mergeCell ref="A65"/>
    <mergeCell ref="B65"/>
    <mergeCell ref="C65"/>
    <mergeCell ref="D65"/>
    <mergeCell ref="E65"/>
    <mergeCell ref="A66"/>
    <mergeCell ref="B66"/>
    <mergeCell ref="C66"/>
    <mergeCell ref="D66"/>
    <mergeCell ref="E66"/>
    <mergeCell ref="A63"/>
    <mergeCell ref="B63"/>
    <mergeCell ref="C63"/>
    <mergeCell ref="D63"/>
    <mergeCell ref="E63"/>
    <mergeCell ref="A64"/>
    <mergeCell ref="B64"/>
    <mergeCell ref="C64"/>
    <mergeCell ref="D64"/>
    <mergeCell ref="E64"/>
    <mergeCell ref="A61"/>
    <mergeCell ref="B61"/>
    <mergeCell ref="C61"/>
    <mergeCell ref="D61"/>
    <mergeCell ref="E61"/>
    <mergeCell ref="A62"/>
    <mergeCell ref="B62"/>
    <mergeCell ref="C62"/>
    <mergeCell ref="D62"/>
    <mergeCell ref="E62"/>
    <mergeCell ref="A59"/>
    <mergeCell ref="B59"/>
    <mergeCell ref="C59"/>
    <mergeCell ref="D59"/>
    <mergeCell ref="E59"/>
    <mergeCell ref="A60"/>
    <mergeCell ref="B60"/>
    <mergeCell ref="C60"/>
    <mergeCell ref="D60"/>
    <mergeCell ref="E60"/>
    <mergeCell ref="A57"/>
    <mergeCell ref="B57"/>
    <mergeCell ref="C57"/>
    <mergeCell ref="D57"/>
    <mergeCell ref="E57"/>
    <mergeCell ref="A58"/>
    <mergeCell ref="B58"/>
    <mergeCell ref="C58"/>
    <mergeCell ref="D58"/>
    <mergeCell ref="E58"/>
    <mergeCell ref="A55"/>
    <mergeCell ref="B55"/>
    <mergeCell ref="C55"/>
    <mergeCell ref="D55"/>
    <mergeCell ref="E55"/>
    <mergeCell ref="A56"/>
    <mergeCell ref="B56"/>
    <mergeCell ref="C56"/>
    <mergeCell ref="D56"/>
    <mergeCell ref="E56"/>
    <mergeCell ref="A53"/>
    <mergeCell ref="B53"/>
    <mergeCell ref="C53"/>
    <mergeCell ref="D53"/>
    <mergeCell ref="E53"/>
    <mergeCell ref="A54"/>
    <mergeCell ref="B54"/>
    <mergeCell ref="C54"/>
    <mergeCell ref="D54"/>
    <mergeCell ref="E54"/>
    <mergeCell ref="A51"/>
    <mergeCell ref="B51"/>
    <mergeCell ref="C51"/>
    <mergeCell ref="D51"/>
    <mergeCell ref="E51"/>
    <mergeCell ref="A52"/>
    <mergeCell ref="B52"/>
    <mergeCell ref="C52"/>
    <mergeCell ref="D52"/>
    <mergeCell ref="E52"/>
    <mergeCell ref="A49"/>
    <mergeCell ref="B49"/>
    <mergeCell ref="C49"/>
    <mergeCell ref="D49"/>
    <mergeCell ref="E49"/>
    <mergeCell ref="A50"/>
    <mergeCell ref="B50"/>
    <mergeCell ref="C50"/>
    <mergeCell ref="D50"/>
    <mergeCell ref="E50"/>
    <mergeCell ref="A47"/>
    <mergeCell ref="B47"/>
    <mergeCell ref="C47"/>
    <mergeCell ref="D47"/>
    <mergeCell ref="E47"/>
    <mergeCell ref="A48"/>
    <mergeCell ref="B48"/>
    <mergeCell ref="C48"/>
    <mergeCell ref="D48"/>
    <mergeCell ref="E48"/>
    <mergeCell ref="A45"/>
    <mergeCell ref="B45"/>
    <mergeCell ref="C45"/>
    <mergeCell ref="D45"/>
    <mergeCell ref="E45"/>
    <mergeCell ref="A46"/>
    <mergeCell ref="B46"/>
    <mergeCell ref="C46"/>
    <mergeCell ref="D46"/>
    <mergeCell ref="E46"/>
    <mergeCell ref="A43"/>
    <mergeCell ref="B43"/>
    <mergeCell ref="C43"/>
    <mergeCell ref="D43"/>
    <mergeCell ref="E43"/>
    <mergeCell ref="A44"/>
    <mergeCell ref="B44"/>
    <mergeCell ref="C44"/>
    <mergeCell ref="D44"/>
    <mergeCell ref="E44"/>
    <mergeCell ref="A41"/>
    <mergeCell ref="B41"/>
    <mergeCell ref="C41"/>
    <mergeCell ref="D41"/>
    <mergeCell ref="E41"/>
    <mergeCell ref="A42"/>
    <mergeCell ref="B42"/>
    <mergeCell ref="C42"/>
    <mergeCell ref="D42"/>
    <mergeCell ref="E42"/>
    <mergeCell ref="A39"/>
    <mergeCell ref="B39"/>
    <mergeCell ref="C39"/>
    <mergeCell ref="D39"/>
    <mergeCell ref="E39"/>
    <mergeCell ref="A40"/>
    <mergeCell ref="B40"/>
    <mergeCell ref="C40"/>
    <mergeCell ref="D40"/>
    <mergeCell ref="E40"/>
    <mergeCell ref="A37"/>
    <mergeCell ref="B37"/>
    <mergeCell ref="C37"/>
    <mergeCell ref="D37"/>
    <mergeCell ref="E37"/>
    <mergeCell ref="A38"/>
    <mergeCell ref="B38"/>
    <mergeCell ref="C38"/>
    <mergeCell ref="D38"/>
    <mergeCell ref="E38"/>
    <mergeCell ref="A35"/>
    <mergeCell ref="B35"/>
    <mergeCell ref="C35"/>
    <mergeCell ref="D35"/>
    <mergeCell ref="E35"/>
    <mergeCell ref="A36"/>
    <mergeCell ref="B36"/>
    <mergeCell ref="C36"/>
    <mergeCell ref="D36"/>
    <mergeCell ref="E36"/>
    <mergeCell ref="A33"/>
    <mergeCell ref="B33"/>
    <mergeCell ref="C33"/>
    <mergeCell ref="D33"/>
    <mergeCell ref="E33"/>
    <mergeCell ref="A34"/>
    <mergeCell ref="B34"/>
    <mergeCell ref="C34"/>
    <mergeCell ref="D34"/>
    <mergeCell ref="E34"/>
    <mergeCell ref="A31"/>
    <mergeCell ref="B31"/>
    <mergeCell ref="C31"/>
    <mergeCell ref="D31"/>
    <mergeCell ref="E31"/>
    <mergeCell ref="A32"/>
    <mergeCell ref="B32"/>
    <mergeCell ref="C32"/>
    <mergeCell ref="D32"/>
    <mergeCell ref="E32"/>
    <mergeCell ref="A29"/>
    <mergeCell ref="B29"/>
    <mergeCell ref="C29"/>
    <mergeCell ref="D29"/>
    <mergeCell ref="E29"/>
    <mergeCell ref="A30"/>
    <mergeCell ref="B30"/>
    <mergeCell ref="C30"/>
    <mergeCell ref="D30"/>
    <mergeCell ref="E30"/>
    <mergeCell ref="A27"/>
    <mergeCell ref="B27"/>
    <mergeCell ref="C27"/>
    <mergeCell ref="D27"/>
    <mergeCell ref="E27"/>
    <mergeCell ref="A28"/>
    <mergeCell ref="B28"/>
    <mergeCell ref="C28"/>
    <mergeCell ref="D28"/>
    <mergeCell ref="E28"/>
    <mergeCell ref="A25"/>
    <mergeCell ref="B25"/>
    <mergeCell ref="C25"/>
    <mergeCell ref="D25"/>
    <mergeCell ref="E25"/>
    <mergeCell ref="A26"/>
    <mergeCell ref="B26"/>
    <mergeCell ref="C26"/>
    <mergeCell ref="D26"/>
    <mergeCell ref="E26"/>
    <mergeCell ref="A23"/>
    <mergeCell ref="B23"/>
    <mergeCell ref="C23"/>
    <mergeCell ref="D23"/>
    <mergeCell ref="E23"/>
    <mergeCell ref="A24"/>
    <mergeCell ref="B24"/>
    <mergeCell ref="C24"/>
    <mergeCell ref="D24"/>
    <mergeCell ref="E24"/>
    <mergeCell ref="A21"/>
    <mergeCell ref="B21"/>
    <mergeCell ref="C21"/>
    <mergeCell ref="D21"/>
    <mergeCell ref="E21"/>
    <mergeCell ref="A22"/>
    <mergeCell ref="B22"/>
    <mergeCell ref="C22"/>
    <mergeCell ref="D22"/>
    <mergeCell ref="E22"/>
    <mergeCell ref="A19"/>
    <mergeCell ref="B19"/>
    <mergeCell ref="C19"/>
    <mergeCell ref="D19"/>
    <mergeCell ref="E19"/>
    <mergeCell ref="A20"/>
    <mergeCell ref="B20"/>
    <mergeCell ref="C20"/>
    <mergeCell ref="D20"/>
    <mergeCell ref="E20"/>
    <mergeCell ref="A17"/>
    <mergeCell ref="B17"/>
    <mergeCell ref="C17"/>
    <mergeCell ref="D17"/>
    <mergeCell ref="E17"/>
    <mergeCell ref="A18"/>
    <mergeCell ref="B18"/>
    <mergeCell ref="C18"/>
    <mergeCell ref="D18"/>
    <mergeCell ref="E18"/>
    <mergeCell ref="A15"/>
    <mergeCell ref="B15"/>
    <mergeCell ref="C15"/>
    <mergeCell ref="D15"/>
    <mergeCell ref="E15"/>
    <mergeCell ref="A16"/>
    <mergeCell ref="B16"/>
    <mergeCell ref="C16"/>
    <mergeCell ref="D16"/>
    <mergeCell ref="E16"/>
    <mergeCell ref="A13"/>
    <mergeCell ref="B13"/>
    <mergeCell ref="C13"/>
    <mergeCell ref="D13"/>
    <mergeCell ref="E13"/>
    <mergeCell ref="A14"/>
    <mergeCell ref="B14"/>
    <mergeCell ref="C14"/>
    <mergeCell ref="D14"/>
    <mergeCell ref="E14"/>
    <mergeCell ref="A11"/>
    <mergeCell ref="B11"/>
    <mergeCell ref="C11"/>
    <mergeCell ref="D11"/>
    <mergeCell ref="E11"/>
    <mergeCell ref="A12"/>
    <mergeCell ref="B12"/>
    <mergeCell ref="C12"/>
    <mergeCell ref="D12"/>
    <mergeCell ref="E12"/>
    <mergeCell ref="A9"/>
    <mergeCell ref="B9"/>
    <mergeCell ref="C9"/>
    <mergeCell ref="D9"/>
    <mergeCell ref="E9"/>
    <mergeCell ref="A10"/>
    <mergeCell ref="B10"/>
    <mergeCell ref="C10"/>
    <mergeCell ref="D10"/>
    <mergeCell ref="E10"/>
    <mergeCell ref="A7"/>
    <mergeCell ref="B7"/>
    <mergeCell ref="C7"/>
    <mergeCell ref="D7"/>
    <mergeCell ref="E7"/>
    <mergeCell ref="A8"/>
    <mergeCell ref="B8"/>
    <mergeCell ref="C8"/>
    <mergeCell ref="D8"/>
    <mergeCell ref="E8"/>
    <mergeCell ref="B5:E5"/>
    <mergeCell ref="A6"/>
    <mergeCell ref="B6"/>
    <mergeCell ref="C6"/>
    <mergeCell ref="D6"/>
    <mergeCell ref="E6"/>
  </mergeCells>
  <printOptions gridLines="1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vs. Actuals  FY06-07 - 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Moore</dc:creator>
  <cp:lastModifiedBy>user</cp:lastModifiedBy>
  <dcterms:created xsi:type="dcterms:W3CDTF">2012-06-20T19:47:48Z</dcterms:created>
  <dcterms:modified xsi:type="dcterms:W3CDTF">2012-06-20T19:47:48Z</dcterms:modified>
</cp:coreProperties>
</file>